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ate1904="1"/>
  <mc:AlternateContent xmlns:mc="http://schemas.openxmlformats.org/markup-compatibility/2006">
    <mc:Choice Requires="x15">
      <x15ac:absPath xmlns:x15ac="http://schemas.microsoft.com/office/spreadsheetml/2010/11/ac" url="/projects_5/updated_BCHydro/"/>
    </mc:Choice>
  </mc:AlternateContent>
  <xr:revisionPtr revIDLastSave="0" documentId="8_{18B8C0C0-2A80-F248-A654-C44058BDAA8F}" xr6:coauthVersionLast="33" xr6:coauthVersionMax="33" xr10:uidLastSave="{00000000-0000-0000-0000-000000000000}"/>
  <bookViews>
    <workbookView xWindow="4500" yWindow="720" windowWidth="22900" windowHeight="15460" tabRatio="447" xr2:uid="{00000000-000D-0000-FFFF-FFFF00000000}"/>
  </bookViews>
  <sheets>
    <sheet name="summary" sheetId="20" r:id="rId1"/>
    <sheet name="CAS Adjust Terms" sheetId="16" r:id="rId2"/>
    <sheet name="Phi_tau" sheetId="21" r:id="rId3"/>
    <sheet name="model coef" sheetId="19" r:id="rId4"/>
    <sheet name="CAS" sheetId="1" r:id="rId5"/>
    <sheet name="BCH2016" sheetId="6" r:id="rId6"/>
  </sheets>
  <calcPr calcId="162913" refMode="R1C1"/>
</workbook>
</file>

<file path=xl/calcChain.xml><?xml version="1.0" encoding="utf-8"?>
<calcChain xmlns="http://schemas.openxmlformats.org/spreadsheetml/2006/main">
  <c r="E5" i="16" l="1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F25" i="20" s="1"/>
  <c r="E27" i="16"/>
  <c r="E4" i="16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6" i="20"/>
  <c r="F3" i="20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3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6" i="20"/>
  <c r="E4" i="20"/>
  <c r="E3" i="20"/>
  <c r="F3" i="16"/>
  <c r="F4" i="16"/>
  <c r="G4" i="16"/>
  <c r="I4" i="16"/>
  <c r="H4" i="16" s="1"/>
  <c r="F5" i="16"/>
  <c r="G5" i="16"/>
  <c r="I5" i="16"/>
  <c r="H5" i="16" s="1"/>
  <c r="I6" i="16"/>
  <c r="H6" i="16" s="1"/>
  <c r="F7" i="16"/>
  <c r="G7" i="16"/>
  <c r="I7" i="16"/>
  <c r="H7" i="16" s="1"/>
  <c r="F8" i="16"/>
  <c r="G8" i="16"/>
  <c r="I8" i="16"/>
  <c r="H8" i="16" s="1"/>
  <c r="F9" i="16"/>
  <c r="G9" i="16"/>
  <c r="I9" i="16"/>
  <c r="H9" i="16" s="1"/>
  <c r="F10" i="16"/>
  <c r="G10" i="16"/>
  <c r="H10" i="16"/>
  <c r="I10" i="16"/>
  <c r="F11" i="16"/>
  <c r="G11" i="16"/>
  <c r="I11" i="16"/>
  <c r="H11" i="16" s="1"/>
  <c r="F12" i="16"/>
  <c r="G12" i="16"/>
  <c r="I12" i="16"/>
  <c r="H12" i="16" s="1"/>
  <c r="F13" i="16"/>
  <c r="G13" i="16"/>
  <c r="I13" i="16"/>
  <c r="H13" i="16" s="1"/>
  <c r="F14" i="16"/>
  <c r="G14" i="16"/>
  <c r="I14" i="16"/>
  <c r="H14" i="16" s="1"/>
  <c r="F15" i="16"/>
  <c r="G15" i="16"/>
  <c r="I15" i="16"/>
  <c r="H15" i="16" s="1"/>
  <c r="F16" i="16"/>
  <c r="G16" i="16"/>
  <c r="I16" i="16"/>
  <c r="H16" i="16" s="1"/>
  <c r="F17" i="16"/>
  <c r="G17" i="16"/>
  <c r="I17" i="16"/>
  <c r="H17" i="16" s="1"/>
  <c r="F18" i="16"/>
  <c r="G18" i="16"/>
  <c r="H18" i="16"/>
  <c r="I18" i="16"/>
  <c r="F19" i="16"/>
  <c r="G19" i="16"/>
  <c r="I19" i="16"/>
  <c r="H19" i="16" s="1"/>
  <c r="F20" i="16"/>
  <c r="G20" i="16"/>
  <c r="I20" i="16"/>
  <c r="H20" i="16" s="1"/>
  <c r="F21" i="16"/>
  <c r="G21" i="16"/>
  <c r="I21" i="16"/>
  <c r="H21" i="16" s="1"/>
  <c r="F22" i="16"/>
  <c r="G22" i="16"/>
  <c r="I22" i="16"/>
  <c r="H22" i="16" s="1"/>
  <c r="F23" i="16"/>
  <c r="G23" i="16"/>
  <c r="I23" i="16"/>
  <c r="H23" i="16" s="1"/>
  <c r="F24" i="16"/>
  <c r="G24" i="16"/>
  <c r="I24" i="16"/>
  <c r="H24" i="16" s="1"/>
  <c r="F25" i="16"/>
  <c r="G25" i="16"/>
  <c r="I25" i="16"/>
  <c r="H25" i="16" s="1"/>
  <c r="F26" i="16"/>
  <c r="G26" i="16"/>
  <c r="H26" i="16"/>
  <c r="I26" i="16"/>
  <c r="F27" i="16"/>
  <c r="G27" i="16"/>
  <c r="I27" i="16"/>
  <c r="H27" i="16" s="1"/>
  <c r="I4" i="21" l="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3" i="21"/>
  <c r="O15" i="21"/>
  <c r="N15" i="21"/>
  <c r="O20" i="21"/>
  <c r="N20" i="21"/>
  <c r="B3" i="21"/>
  <c r="J3" i="21"/>
  <c r="K3" i="21"/>
  <c r="L3" i="21"/>
  <c r="M3" i="21"/>
  <c r="J4" i="21"/>
  <c r="K4" i="21"/>
  <c r="L4" i="21"/>
  <c r="M4" i="21"/>
  <c r="J5" i="21"/>
  <c r="K5" i="21"/>
  <c r="L5" i="21"/>
  <c r="M5" i="21"/>
  <c r="J6" i="21"/>
  <c r="K6" i="21"/>
  <c r="L6" i="21"/>
  <c r="M6" i="21"/>
  <c r="J7" i="21"/>
  <c r="K7" i="21"/>
  <c r="L7" i="21"/>
  <c r="M7" i="21"/>
  <c r="J8" i="21"/>
  <c r="K8" i="21"/>
  <c r="L8" i="21"/>
  <c r="M8" i="21"/>
  <c r="J9" i="21"/>
  <c r="K9" i="21"/>
  <c r="L9" i="21"/>
  <c r="M9" i="21"/>
  <c r="J10" i="21"/>
  <c r="K10" i="21"/>
  <c r="L10" i="21"/>
  <c r="M10" i="21"/>
  <c r="J11" i="21"/>
  <c r="K11" i="21"/>
  <c r="L11" i="21"/>
  <c r="M11" i="21"/>
  <c r="J12" i="21"/>
  <c r="K12" i="21"/>
  <c r="L12" i="21"/>
  <c r="M12" i="21"/>
  <c r="J13" i="21"/>
  <c r="K13" i="21"/>
  <c r="L13" i="21"/>
  <c r="M13" i="21"/>
  <c r="J14" i="21"/>
  <c r="K14" i="21"/>
  <c r="L14" i="21"/>
  <c r="M14" i="21"/>
  <c r="J15" i="21"/>
  <c r="K15" i="21"/>
  <c r="L15" i="21"/>
  <c r="M15" i="21"/>
  <c r="J16" i="21"/>
  <c r="K16" i="21"/>
  <c r="L16" i="21"/>
  <c r="M16" i="21"/>
  <c r="J17" i="21"/>
  <c r="K17" i="21"/>
  <c r="L17" i="21"/>
  <c r="M17" i="21"/>
  <c r="J18" i="21"/>
  <c r="K18" i="21"/>
  <c r="L18" i="21"/>
  <c r="M18" i="21"/>
  <c r="J19" i="21"/>
  <c r="K19" i="21"/>
  <c r="L19" i="21"/>
  <c r="M19" i="21"/>
  <c r="J20" i="21"/>
  <c r="K20" i="21"/>
  <c r="L20" i="21"/>
  <c r="M20" i="21"/>
  <c r="J21" i="21"/>
  <c r="K21" i="21"/>
  <c r="L21" i="21"/>
  <c r="M21" i="21"/>
  <c r="J22" i="21"/>
  <c r="K22" i="21"/>
  <c r="L22" i="21"/>
  <c r="M22" i="21"/>
  <c r="J23" i="21"/>
  <c r="K23" i="21"/>
  <c r="L23" i="21"/>
  <c r="M23" i="21"/>
  <c r="J24" i="21"/>
  <c r="K24" i="21"/>
  <c r="L24" i="21"/>
  <c r="M24" i="21"/>
  <c r="J25" i="21"/>
  <c r="K25" i="21"/>
  <c r="L25" i="21"/>
  <c r="M25" i="21"/>
  <c r="J26" i="21"/>
  <c r="K26" i="21"/>
  <c r="L26" i="21"/>
  <c r="M26" i="21"/>
  <c r="B13" i="6"/>
  <c r="B12" i="6"/>
  <c r="B5" i="16" l="1"/>
  <c r="B7" i="16"/>
  <c r="CJ3" i="19" l="1"/>
  <c r="CJ4" i="19"/>
  <c r="CJ5" i="19"/>
  <c r="CJ6" i="19"/>
  <c r="CJ7" i="19"/>
  <c r="CJ8" i="19"/>
  <c r="CJ9" i="19"/>
  <c r="CJ10" i="19"/>
  <c r="CJ11" i="19"/>
  <c r="CJ12" i="19"/>
  <c r="CJ13" i="19"/>
  <c r="CJ14" i="19"/>
  <c r="CJ15" i="19"/>
  <c r="CJ16" i="19"/>
  <c r="CJ17" i="19"/>
  <c r="CJ18" i="19"/>
  <c r="CJ19" i="19"/>
  <c r="CJ20" i="19"/>
  <c r="CJ21" i="19"/>
  <c r="CJ22" i="19"/>
  <c r="CJ23" i="19"/>
  <c r="CJ24" i="19"/>
  <c r="CJ25" i="19"/>
  <c r="CJ26" i="19"/>
  <c r="CD3" i="19"/>
  <c r="CI3" i="19"/>
  <c r="CD4" i="19"/>
  <c r="CE4" i="19"/>
  <c r="CF4" i="19"/>
  <c r="CG4" i="19"/>
  <c r="CH4" i="19"/>
  <c r="CI4" i="19"/>
  <c r="CD5" i="19"/>
  <c r="CE5" i="19"/>
  <c r="CF5" i="19"/>
  <c r="CG5" i="19"/>
  <c r="CH5" i="19"/>
  <c r="CI5" i="19"/>
  <c r="CD6" i="19"/>
  <c r="CE6" i="19"/>
  <c r="CF6" i="19"/>
  <c r="CG6" i="19"/>
  <c r="CH6" i="19"/>
  <c r="CI6" i="19"/>
  <c r="CD7" i="19"/>
  <c r="CE7" i="19"/>
  <c r="CF7" i="19"/>
  <c r="CG7" i="19"/>
  <c r="CH7" i="19"/>
  <c r="CI7" i="19"/>
  <c r="CD8" i="19"/>
  <c r="CE8" i="19"/>
  <c r="CF8" i="19"/>
  <c r="CG8" i="19"/>
  <c r="CH8" i="19"/>
  <c r="CI8" i="19"/>
  <c r="CD9" i="19"/>
  <c r="CE9" i="19"/>
  <c r="CF9" i="19"/>
  <c r="CG9" i="19"/>
  <c r="CH9" i="19"/>
  <c r="CI9" i="19"/>
  <c r="CD10" i="19"/>
  <c r="CE10" i="19"/>
  <c r="CF10" i="19"/>
  <c r="CG10" i="19"/>
  <c r="CH10" i="19"/>
  <c r="CI10" i="19"/>
  <c r="CD11" i="19"/>
  <c r="CE11" i="19"/>
  <c r="CF11" i="19"/>
  <c r="CG11" i="19"/>
  <c r="CH11" i="19"/>
  <c r="CI11" i="19"/>
  <c r="CD12" i="19"/>
  <c r="CE12" i="19"/>
  <c r="CF12" i="19"/>
  <c r="CG12" i="19"/>
  <c r="CH12" i="19"/>
  <c r="CI12" i="19"/>
  <c r="CD13" i="19"/>
  <c r="CE13" i="19"/>
  <c r="CF13" i="19"/>
  <c r="CG13" i="19"/>
  <c r="CH13" i="19"/>
  <c r="CI13" i="19"/>
  <c r="CD14" i="19"/>
  <c r="CE14" i="19"/>
  <c r="CF14" i="19"/>
  <c r="CG14" i="19"/>
  <c r="CH14" i="19"/>
  <c r="CI14" i="19"/>
  <c r="CD15" i="19"/>
  <c r="CE15" i="19"/>
  <c r="CF15" i="19"/>
  <c r="CG15" i="19"/>
  <c r="CH15" i="19"/>
  <c r="CI15" i="19"/>
  <c r="CD16" i="19"/>
  <c r="CE16" i="19"/>
  <c r="CF16" i="19"/>
  <c r="CG16" i="19"/>
  <c r="CH16" i="19"/>
  <c r="CI16" i="19"/>
  <c r="CD17" i="19"/>
  <c r="CE17" i="19"/>
  <c r="CF17" i="19"/>
  <c r="CG17" i="19"/>
  <c r="CH17" i="19"/>
  <c r="CI17" i="19"/>
  <c r="CD18" i="19"/>
  <c r="CE18" i="19"/>
  <c r="CF18" i="19"/>
  <c r="CG18" i="19"/>
  <c r="CH18" i="19"/>
  <c r="CI18" i="19"/>
  <c r="CD19" i="19"/>
  <c r="CE19" i="19"/>
  <c r="CF19" i="19"/>
  <c r="CG19" i="19"/>
  <c r="CH19" i="19"/>
  <c r="CI19" i="19"/>
  <c r="CD20" i="19"/>
  <c r="CE20" i="19"/>
  <c r="CF20" i="19"/>
  <c r="CG20" i="19"/>
  <c r="CH20" i="19"/>
  <c r="CI20" i="19"/>
  <c r="CD21" i="19"/>
  <c r="CE21" i="19"/>
  <c r="CF21" i="19"/>
  <c r="CG21" i="19"/>
  <c r="CH21" i="19"/>
  <c r="CI21" i="19"/>
  <c r="CD22" i="19"/>
  <c r="CE22" i="19"/>
  <c r="CF22" i="19"/>
  <c r="CG22" i="19"/>
  <c r="CH22" i="19"/>
  <c r="CI22" i="19"/>
  <c r="CD23" i="19"/>
  <c r="CE23" i="19"/>
  <c r="CF23" i="19"/>
  <c r="CG23" i="19"/>
  <c r="CH23" i="19"/>
  <c r="CI23" i="19"/>
  <c r="CD24" i="19"/>
  <c r="CE24" i="19"/>
  <c r="CF24" i="19"/>
  <c r="CG24" i="19"/>
  <c r="CH24" i="19"/>
  <c r="CI24" i="19"/>
  <c r="CD25" i="19"/>
  <c r="CE25" i="19"/>
  <c r="CF25" i="19"/>
  <c r="CG25" i="19"/>
  <c r="CH25" i="19"/>
  <c r="CI25" i="19"/>
  <c r="CD26" i="19"/>
  <c r="CE26" i="19"/>
  <c r="CF26" i="19"/>
  <c r="CG26" i="19"/>
  <c r="CH26" i="19"/>
  <c r="CI26" i="19"/>
  <c r="CH3" i="19"/>
  <c r="CG3" i="19"/>
  <c r="CF3" i="19"/>
  <c r="CE3" i="19"/>
  <c r="T13" i="1"/>
  <c r="T16" i="1"/>
  <c r="T12" i="1"/>
  <c r="D5" i="20" l="1"/>
  <c r="B6" i="16"/>
  <c r="B8" i="16"/>
  <c r="B9" i="16"/>
  <c r="B4" i="16"/>
  <c r="AR2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10" i="1"/>
  <c r="AQ2" i="1" l="1"/>
  <c r="BE4" i="19"/>
  <c r="BE5" i="19"/>
  <c r="BE6" i="19"/>
  <c r="BE7" i="19"/>
  <c r="BE8" i="19"/>
  <c r="BE9" i="19"/>
  <c r="BE10" i="19"/>
  <c r="BE11" i="19"/>
  <c r="BE12" i="19"/>
  <c r="BE13" i="19"/>
  <c r="BE14" i="19"/>
  <c r="BE15" i="19"/>
  <c r="BE16" i="19"/>
  <c r="BE17" i="19"/>
  <c r="BE18" i="19"/>
  <c r="BE19" i="19"/>
  <c r="BE20" i="19"/>
  <c r="BE21" i="19"/>
  <c r="BE22" i="19"/>
  <c r="BE23" i="19"/>
  <c r="BE24" i="19"/>
  <c r="BE25" i="19"/>
  <c r="BE26" i="19"/>
  <c r="BE3" i="19"/>
  <c r="BF4" i="19"/>
  <c r="BF5" i="19"/>
  <c r="BF6" i="19"/>
  <c r="BF7" i="19"/>
  <c r="BF8" i="19"/>
  <c r="BF9" i="19"/>
  <c r="BF10" i="19"/>
  <c r="BF11" i="19"/>
  <c r="BF12" i="19"/>
  <c r="BF13" i="19"/>
  <c r="BF14" i="19"/>
  <c r="BF15" i="19"/>
  <c r="BF16" i="19"/>
  <c r="BF17" i="19"/>
  <c r="BF18" i="19"/>
  <c r="BF19" i="19"/>
  <c r="BF20" i="19"/>
  <c r="BF21" i="19"/>
  <c r="BF22" i="19"/>
  <c r="BF23" i="19"/>
  <c r="BF24" i="19"/>
  <c r="BF25" i="19"/>
  <c r="BF26" i="19"/>
  <c r="BF3" i="19"/>
  <c r="CA4" i="19"/>
  <c r="CA5" i="19"/>
  <c r="CA6" i="19"/>
  <c r="CA7" i="19"/>
  <c r="CA8" i="19"/>
  <c r="CA9" i="19"/>
  <c r="CA10" i="19"/>
  <c r="CA11" i="19"/>
  <c r="CA12" i="19"/>
  <c r="CA13" i="19"/>
  <c r="CA14" i="19"/>
  <c r="CA15" i="19"/>
  <c r="CA16" i="19"/>
  <c r="CA17" i="19"/>
  <c r="CA18" i="19"/>
  <c r="CA19" i="19"/>
  <c r="CA20" i="19"/>
  <c r="CA21" i="19"/>
  <c r="CA22" i="19"/>
  <c r="CA23" i="19"/>
  <c r="CA24" i="19"/>
  <c r="CA25" i="19"/>
  <c r="CA26" i="19"/>
  <c r="CA3" i="19"/>
  <c r="BD11" i="1" l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10" i="1"/>
  <c r="G12" i="1"/>
  <c r="T34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10" i="1"/>
  <c r="J11" i="1"/>
  <c r="K11" i="1"/>
  <c r="L11" i="1"/>
  <c r="M11" i="1"/>
  <c r="N11" i="1"/>
  <c r="Q11" i="1"/>
  <c r="R11" i="1"/>
  <c r="S11" i="1"/>
  <c r="U11" i="1"/>
  <c r="V11" i="1"/>
  <c r="W11" i="1"/>
  <c r="X11" i="1"/>
  <c r="Y11" i="1"/>
  <c r="AA11" i="1"/>
  <c r="AB11" i="1"/>
  <c r="AC11" i="1"/>
  <c r="AD11" i="1"/>
  <c r="J12" i="1"/>
  <c r="K12" i="1"/>
  <c r="L12" i="1"/>
  <c r="M12" i="1"/>
  <c r="N12" i="1"/>
  <c r="Q12" i="1"/>
  <c r="R12" i="1"/>
  <c r="S12" i="1"/>
  <c r="U12" i="1"/>
  <c r="V12" i="1"/>
  <c r="W12" i="1"/>
  <c r="X12" i="1"/>
  <c r="Y12" i="1"/>
  <c r="AA12" i="1"/>
  <c r="AB12" i="1"/>
  <c r="AC12" i="1"/>
  <c r="AD12" i="1"/>
  <c r="J13" i="1"/>
  <c r="K13" i="1"/>
  <c r="L13" i="1"/>
  <c r="M13" i="1"/>
  <c r="N13" i="1"/>
  <c r="Q13" i="1"/>
  <c r="R13" i="1"/>
  <c r="S13" i="1"/>
  <c r="U13" i="1"/>
  <c r="V13" i="1"/>
  <c r="W13" i="1"/>
  <c r="X13" i="1"/>
  <c r="Y13" i="1"/>
  <c r="AA13" i="1"/>
  <c r="AB13" i="1"/>
  <c r="AC13" i="1"/>
  <c r="AD13" i="1"/>
  <c r="J14" i="1"/>
  <c r="K14" i="1"/>
  <c r="L14" i="1"/>
  <c r="M14" i="1"/>
  <c r="N14" i="1"/>
  <c r="Q14" i="1"/>
  <c r="BE14" i="1" s="1"/>
  <c r="P14" i="1" s="1"/>
  <c r="R14" i="1"/>
  <c r="S14" i="1"/>
  <c r="U14" i="1"/>
  <c r="V14" i="1"/>
  <c r="W14" i="1"/>
  <c r="X14" i="1"/>
  <c r="Y14" i="1"/>
  <c r="AA14" i="1"/>
  <c r="AB14" i="1"/>
  <c r="AC14" i="1"/>
  <c r="AD14" i="1"/>
  <c r="J15" i="1"/>
  <c r="K15" i="1"/>
  <c r="L15" i="1"/>
  <c r="M15" i="1"/>
  <c r="N15" i="1"/>
  <c r="Q15" i="1"/>
  <c r="BE15" i="1" s="1"/>
  <c r="P15" i="1" s="1"/>
  <c r="R15" i="1"/>
  <c r="S15" i="1"/>
  <c r="U15" i="1"/>
  <c r="V15" i="1"/>
  <c r="W15" i="1"/>
  <c r="X15" i="1"/>
  <c r="Y15" i="1"/>
  <c r="AA15" i="1"/>
  <c r="AB15" i="1"/>
  <c r="AC15" i="1"/>
  <c r="AD15" i="1"/>
  <c r="J16" i="1"/>
  <c r="K16" i="1"/>
  <c r="L16" i="1"/>
  <c r="M16" i="1"/>
  <c r="N16" i="1"/>
  <c r="Q16" i="1"/>
  <c r="R16" i="1"/>
  <c r="S16" i="1"/>
  <c r="U16" i="1"/>
  <c r="V16" i="1"/>
  <c r="W16" i="1"/>
  <c r="X16" i="1"/>
  <c r="Y16" i="1"/>
  <c r="AA16" i="1"/>
  <c r="AB16" i="1"/>
  <c r="AC16" i="1"/>
  <c r="AD16" i="1"/>
  <c r="J17" i="1"/>
  <c r="K17" i="1"/>
  <c r="L17" i="1"/>
  <c r="M17" i="1"/>
  <c r="N17" i="1"/>
  <c r="Q17" i="1"/>
  <c r="R17" i="1"/>
  <c r="S17" i="1"/>
  <c r="U17" i="1"/>
  <c r="V17" i="1"/>
  <c r="W17" i="1"/>
  <c r="X17" i="1"/>
  <c r="Y17" i="1"/>
  <c r="AA17" i="1"/>
  <c r="AB17" i="1"/>
  <c r="AC17" i="1"/>
  <c r="AD17" i="1"/>
  <c r="J18" i="1"/>
  <c r="K18" i="1"/>
  <c r="L18" i="1"/>
  <c r="M18" i="1"/>
  <c r="N18" i="1"/>
  <c r="Q18" i="1"/>
  <c r="R18" i="1"/>
  <c r="S18" i="1"/>
  <c r="U18" i="1"/>
  <c r="V18" i="1"/>
  <c r="W18" i="1"/>
  <c r="X18" i="1"/>
  <c r="Y18" i="1"/>
  <c r="AA18" i="1"/>
  <c r="AB18" i="1"/>
  <c r="AC18" i="1"/>
  <c r="AD18" i="1"/>
  <c r="J19" i="1"/>
  <c r="K19" i="1"/>
  <c r="L19" i="1"/>
  <c r="M19" i="1"/>
  <c r="N19" i="1"/>
  <c r="Q19" i="1"/>
  <c r="BE19" i="1" s="1"/>
  <c r="P19" i="1" s="1"/>
  <c r="R19" i="1"/>
  <c r="S19" i="1"/>
  <c r="U19" i="1"/>
  <c r="V19" i="1"/>
  <c r="W19" i="1"/>
  <c r="X19" i="1"/>
  <c r="Y19" i="1"/>
  <c r="AA19" i="1"/>
  <c r="AB19" i="1"/>
  <c r="AC19" i="1"/>
  <c r="AD19" i="1"/>
  <c r="J20" i="1"/>
  <c r="K20" i="1"/>
  <c r="L20" i="1"/>
  <c r="M20" i="1"/>
  <c r="N20" i="1"/>
  <c r="Q20" i="1"/>
  <c r="BE20" i="1" s="1"/>
  <c r="P20" i="1" s="1"/>
  <c r="R20" i="1"/>
  <c r="S20" i="1"/>
  <c r="U20" i="1"/>
  <c r="V20" i="1"/>
  <c r="W20" i="1"/>
  <c r="X20" i="1"/>
  <c r="Y20" i="1"/>
  <c r="AA20" i="1"/>
  <c r="AB20" i="1"/>
  <c r="AC20" i="1"/>
  <c r="AD20" i="1"/>
  <c r="J21" i="1"/>
  <c r="K21" i="1"/>
  <c r="L21" i="1"/>
  <c r="M21" i="1"/>
  <c r="N21" i="1"/>
  <c r="Q21" i="1"/>
  <c r="BE21" i="1" s="1"/>
  <c r="P21" i="1" s="1"/>
  <c r="R21" i="1"/>
  <c r="S21" i="1"/>
  <c r="U21" i="1"/>
  <c r="V21" i="1"/>
  <c r="W21" i="1"/>
  <c r="X21" i="1"/>
  <c r="Y21" i="1"/>
  <c r="AA21" i="1"/>
  <c r="AB21" i="1"/>
  <c r="AC21" i="1"/>
  <c r="AD21" i="1"/>
  <c r="J22" i="1"/>
  <c r="K22" i="1"/>
  <c r="L22" i="1"/>
  <c r="M22" i="1"/>
  <c r="N22" i="1"/>
  <c r="Q22" i="1"/>
  <c r="BE22" i="1" s="1"/>
  <c r="P22" i="1" s="1"/>
  <c r="R22" i="1"/>
  <c r="S22" i="1"/>
  <c r="U22" i="1"/>
  <c r="V22" i="1"/>
  <c r="W22" i="1"/>
  <c r="X22" i="1"/>
  <c r="Y22" i="1"/>
  <c r="AA22" i="1"/>
  <c r="AB22" i="1"/>
  <c r="AC22" i="1"/>
  <c r="AD22" i="1"/>
  <c r="J23" i="1"/>
  <c r="K23" i="1"/>
  <c r="L23" i="1"/>
  <c r="M23" i="1"/>
  <c r="N23" i="1"/>
  <c r="Q23" i="1"/>
  <c r="BE23" i="1" s="1"/>
  <c r="P23" i="1" s="1"/>
  <c r="R23" i="1"/>
  <c r="S23" i="1"/>
  <c r="U23" i="1"/>
  <c r="V23" i="1"/>
  <c r="W23" i="1"/>
  <c r="X23" i="1"/>
  <c r="Y23" i="1"/>
  <c r="AA23" i="1"/>
  <c r="AB23" i="1"/>
  <c r="AC23" i="1"/>
  <c r="AD23" i="1"/>
  <c r="J24" i="1"/>
  <c r="K24" i="1"/>
  <c r="L24" i="1"/>
  <c r="M24" i="1"/>
  <c r="N24" i="1"/>
  <c r="Q24" i="1"/>
  <c r="R24" i="1"/>
  <c r="S24" i="1"/>
  <c r="U24" i="1"/>
  <c r="V24" i="1"/>
  <c r="W24" i="1"/>
  <c r="X24" i="1"/>
  <c r="Y24" i="1"/>
  <c r="AA24" i="1"/>
  <c r="AB24" i="1"/>
  <c r="AC24" i="1"/>
  <c r="AD24" i="1"/>
  <c r="J25" i="1"/>
  <c r="K25" i="1"/>
  <c r="L25" i="1"/>
  <c r="M25" i="1"/>
  <c r="N25" i="1"/>
  <c r="Q25" i="1"/>
  <c r="R25" i="1"/>
  <c r="S25" i="1"/>
  <c r="U25" i="1"/>
  <c r="V25" i="1"/>
  <c r="W25" i="1"/>
  <c r="X25" i="1"/>
  <c r="Y25" i="1"/>
  <c r="AA25" i="1"/>
  <c r="AB25" i="1"/>
  <c r="AC25" i="1"/>
  <c r="AD25" i="1"/>
  <c r="J26" i="1"/>
  <c r="K26" i="1"/>
  <c r="L26" i="1"/>
  <c r="M26" i="1"/>
  <c r="N26" i="1"/>
  <c r="Q26" i="1"/>
  <c r="R26" i="1"/>
  <c r="S26" i="1"/>
  <c r="U26" i="1"/>
  <c r="V26" i="1"/>
  <c r="W26" i="1"/>
  <c r="X26" i="1"/>
  <c r="Y26" i="1"/>
  <c r="AA26" i="1"/>
  <c r="AB26" i="1"/>
  <c r="AC26" i="1"/>
  <c r="AD26" i="1"/>
  <c r="J27" i="1"/>
  <c r="K27" i="1"/>
  <c r="L27" i="1"/>
  <c r="M27" i="1"/>
  <c r="N27" i="1"/>
  <c r="Q27" i="1"/>
  <c r="BE27" i="1" s="1"/>
  <c r="P27" i="1" s="1"/>
  <c r="R27" i="1"/>
  <c r="S27" i="1"/>
  <c r="U27" i="1"/>
  <c r="V27" i="1"/>
  <c r="W27" i="1"/>
  <c r="X27" i="1"/>
  <c r="Y27" i="1"/>
  <c r="AA27" i="1"/>
  <c r="AB27" i="1"/>
  <c r="AC27" i="1"/>
  <c r="AD27" i="1"/>
  <c r="J28" i="1"/>
  <c r="K28" i="1"/>
  <c r="L28" i="1"/>
  <c r="M28" i="1"/>
  <c r="N28" i="1"/>
  <c r="Q28" i="1"/>
  <c r="R28" i="1"/>
  <c r="S28" i="1"/>
  <c r="U28" i="1"/>
  <c r="V28" i="1"/>
  <c r="W28" i="1"/>
  <c r="X28" i="1"/>
  <c r="Y28" i="1"/>
  <c r="AA28" i="1"/>
  <c r="AB28" i="1"/>
  <c r="AC28" i="1"/>
  <c r="AD28" i="1"/>
  <c r="J29" i="1"/>
  <c r="K29" i="1"/>
  <c r="L29" i="1"/>
  <c r="M29" i="1"/>
  <c r="N29" i="1"/>
  <c r="Q29" i="1"/>
  <c r="BE29" i="1" s="1"/>
  <c r="P29" i="1" s="1"/>
  <c r="R29" i="1"/>
  <c r="S29" i="1"/>
  <c r="U29" i="1"/>
  <c r="V29" i="1"/>
  <c r="W29" i="1"/>
  <c r="X29" i="1"/>
  <c r="Y29" i="1"/>
  <c r="AA29" i="1"/>
  <c r="AB29" i="1"/>
  <c r="AC29" i="1"/>
  <c r="AD29" i="1"/>
  <c r="J30" i="1"/>
  <c r="K30" i="1"/>
  <c r="L30" i="1"/>
  <c r="M30" i="1"/>
  <c r="N30" i="1"/>
  <c r="Q30" i="1"/>
  <c r="BE30" i="1" s="1"/>
  <c r="P30" i="1" s="1"/>
  <c r="R30" i="1"/>
  <c r="S30" i="1"/>
  <c r="U30" i="1"/>
  <c r="V30" i="1"/>
  <c r="W30" i="1"/>
  <c r="X30" i="1"/>
  <c r="Y30" i="1"/>
  <c r="AA30" i="1"/>
  <c r="AB30" i="1"/>
  <c r="AC30" i="1"/>
  <c r="AD30" i="1"/>
  <c r="J31" i="1"/>
  <c r="K31" i="1"/>
  <c r="L31" i="1"/>
  <c r="M31" i="1"/>
  <c r="N31" i="1"/>
  <c r="Q31" i="1"/>
  <c r="BE31" i="1" s="1"/>
  <c r="P31" i="1" s="1"/>
  <c r="R31" i="1"/>
  <c r="S31" i="1"/>
  <c r="U31" i="1"/>
  <c r="V31" i="1"/>
  <c r="W31" i="1"/>
  <c r="X31" i="1"/>
  <c r="Y31" i="1"/>
  <c r="AA31" i="1"/>
  <c r="AB31" i="1"/>
  <c r="AC31" i="1"/>
  <c r="AD31" i="1"/>
  <c r="J32" i="1"/>
  <c r="K32" i="1"/>
  <c r="L32" i="1"/>
  <c r="M32" i="1"/>
  <c r="N32" i="1"/>
  <c r="Q32" i="1"/>
  <c r="R32" i="1"/>
  <c r="S32" i="1"/>
  <c r="U32" i="1"/>
  <c r="V32" i="1"/>
  <c r="W32" i="1"/>
  <c r="X32" i="1"/>
  <c r="Y32" i="1"/>
  <c r="AA32" i="1"/>
  <c r="AB32" i="1"/>
  <c r="AC32" i="1"/>
  <c r="AD32" i="1"/>
  <c r="J33" i="1"/>
  <c r="K33" i="1"/>
  <c r="L33" i="1"/>
  <c r="M33" i="1"/>
  <c r="N33" i="1"/>
  <c r="Q33" i="1"/>
  <c r="R33" i="1"/>
  <c r="S33" i="1"/>
  <c r="U33" i="1"/>
  <c r="V33" i="1"/>
  <c r="W33" i="1"/>
  <c r="X33" i="1"/>
  <c r="Y33" i="1"/>
  <c r="AA33" i="1"/>
  <c r="AB33" i="1"/>
  <c r="AC33" i="1"/>
  <c r="AD33" i="1"/>
  <c r="K10" i="1"/>
  <c r="L10" i="1"/>
  <c r="M10" i="1"/>
  <c r="N10" i="1"/>
  <c r="Q10" i="1"/>
  <c r="R10" i="1"/>
  <c r="S10" i="1"/>
  <c r="U10" i="1"/>
  <c r="V10" i="1"/>
  <c r="W10" i="1"/>
  <c r="X10" i="1"/>
  <c r="Y10" i="1"/>
  <c r="AA10" i="1"/>
  <c r="AB10" i="1"/>
  <c r="AC10" i="1"/>
  <c r="AD10" i="1"/>
  <c r="J10" i="1"/>
  <c r="BY26" i="19"/>
  <c r="BX26" i="19"/>
  <c r="BW26" i="19"/>
  <c r="BV26" i="19"/>
  <c r="BU26" i="19"/>
  <c r="BT26" i="19"/>
  <c r="O33" i="1" s="1"/>
  <c r="BS26" i="19"/>
  <c r="BR26" i="19"/>
  <c r="BQ26" i="19"/>
  <c r="BP26" i="19"/>
  <c r="BO26" i="19"/>
  <c r="BN26" i="19"/>
  <c r="BM26" i="19"/>
  <c r="T33" i="1" s="1"/>
  <c r="BL26" i="19"/>
  <c r="BK26" i="19"/>
  <c r="BJ26" i="19"/>
  <c r="BI26" i="19"/>
  <c r="BH26" i="19"/>
  <c r="BG26" i="19"/>
  <c r="Z33" i="1"/>
  <c r="BY25" i="19"/>
  <c r="BX25" i="19"/>
  <c r="BW25" i="19"/>
  <c r="BV25" i="19"/>
  <c r="BU25" i="19"/>
  <c r="BT25" i="19"/>
  <c r="O32" i="1" s="1"/>
  <c r="BS25" i="19"/>
  <c r="BR25" i="19"/>
  <c r="BQ25" i="19"/>
  <c r="BP25" i="19"/>
  <c r="BO25" i="19"/>
  <c r="BN25" i="19"/>
  <c r="BM25" i="19"/>
  <c r="T32" i="1" s="1"/>
  <c r="BL25" i="19"/>
  <c r="BK25" i="19"/>
  <c r="BJ25" i="19"/>
  <c r="BI25" i="19"/>
  <c r="BH25" i="19"/>
  <c r="BG25" i="19"/>
  <c r="Z32" i="1"/>
  <c r="BH32" i="1" s="1"/>
  <c r="BY24" i="19"/>
  <c r="BX24" i="19"/>
  <c r="BW24" i="19"/>
  <c r="BV24" i="19"/>
  <c r="BU24" i="19"/>
  <c r="BT24" i="19"/>
  <c r="O31" i="1" s="1"/>
  <c r="BS24" i="19"/>
  <c r="BR24" i="19"/>
  <c r="BQ24" i="19"/>
  <c r="BP24" i="19"/>
  <c r="BO24" i="19"/>
  <c r="BN24" i="19"/>
  <c r="BM24" i="19"/>
  <c r="T31" i="1" s="1"/>
  <c r="BL24" i="19"/>
  <c r="BK24" i="19"/>
  <c r="BJ24" i="19"/>
  <c r="BI24" i="19"/>
  <c r="BH24" i="19"/>
  <c r="BG24" i="19"/>
  <c r="Z31" i="1"/>
  <c r="BY23" i="19"/>
  <c r="BX23" i="19"/>
  <c r="BW23" i="19"/>
  <c r="BV23" i="19"/>
  <c r="BU23" i="19"/>
  <c r="BT23" i="19"/>
  <c r="O30" i="1" s="1"/>
  <c r="BS23" i="19"/>
  <c r="BR23" i="19"/>
  <c r="BQ23" i="19"/>
  <c r="BP23" i="19"/>
  <c r="BO23" i="19"/>
  <c r="BN23" i="19"/>
  <c r="BM23" i="19"/>
  <c r="T30" i="1" s="1"/>
  <c r="BL23" i="19"/>
  <c r="BK23" i="19"/>
  <c r="BJ23" i="19"/>
  <c r="BI23" i="19"/>
  <c r="BH23" i="19"/>
  <c r="BG23" i="19"/>
  <c r="Z30" i="1"/>
  <c r="BH30" i="1" s="1"/>
  <c r="BY22" i="19"/>
  <c r="BX22" i="19"/>
  <c r="BW22" i="19"/>
  <c r="BV22" i="19"/>
  <c r="BU22" i="19"/>
  <c r="BT22" i="19"/>
  <c r="O29" i="1" s="1"/>
  <c r="BS22" i="19"/>
  <c r="BR22" i="19"/>
  <c r="BQ22" i="19"/>
  <c r="BP22" i="19"/>
  <c r="BO22" i="19"/>
  <c r="BN22" i="19"/>
  <c r="BM22" i="19"/>
  <c r="T29" i="1" s="1"/>
  <c r="BL22" i="19"/>
  <c r="BK22" i="19"/>
  <c r="BJ22" i="19"/>
  <c r="BI22" i="19"/>
  <c r="BH22" i="19"/>
  <c r="BG22" i="19"/>
  <c r="Z29" i="1"/>
  <c r="BY21" i="19"/>
  <c r="BX21" i="19"/>
  <c r="BW21" i="19"/>
  <c r="BV21" i="19"/>
  <c r="BU21" i="19"/>
  <c r="BT21" i="19"/>
  <c r="O28" i="1" s="1"/>
  <c r="BS21" i="19"/>
  <c r="BR21" i="19"/>
  <c r="BQ21" i="19"/>
  <c r="BP21" i="19"/>
  <c r="BO21" i="19"/>
  <c r="BN21" i="19"/>
  <c r="BM21" i="19"/>
  <c r="T28" i="1" s="1"/>
  <c r="BL21" i="19"/>
  <c r="BK21" i="19"/>
  <c r="BJ21" i="19"/>
  <c r="BI21" i="19"/>
  <c r="BH21" i="19"/>
  <c r="BG21" i="19"/>
  <c r="Z28" i="1"/>
  <c r="BH28" i="1" s="1"/>
  <c r="BY20" i="19"/>
  <c r="BX20" i="19"/>
  <c r="BW20" i="19"/>
  <c r="BV20" i="19"/>
  <c r="BU20" i="19"/>
  <c r="BT20" i="19"/>
  <c r="O27" i="1" s="1"/>
  <c r="BS20" i="19"/>
  <c r="BR20" i="19"/>
  <c r="BQ20" i="19"/>
  <c r="BP20" i="19"/>
  <c r="BO20" i="19"/>
  <c r="BN20" i="19"/>
  <c r="BM20" i="19"/>
  <c r="T27" i="1" s="1"/>
  <c r="BL20" i="19"/>
  <c r="BK20" i="19"/>
  <c r="BJ20" i="19"/>
  <c r="BI20" i="19"/>
  <c r="BH20" i="19"/>
  <c r="BG20" i="19"/>
  <c r="Z27" i="1"/>
  <c r="BY19" i="19"/>
  <c r="BX19" i="19"/>
  <c r="BW19" i="19"/>
  <c r="BV19" i="19"/>
  <c r="BU19" i="19"/>
  <c r="BT19" i="19"/>
  <c r="O26" i="1" s="1"/>
  <c r="BS19" i="19"/>
  <c r="BR19" i="19"/>
  <c r="BQ19" i="19"/>
  <c r="BP19" i="19"/>
  <c r="BO19" i="19"/>
  <c r="BN19" i="19"/>
  <c r="BM19" i="19"/>
  <c r="T26" i="1" s="1"/>
  <c r="BL19" i="19"/>
  <c r="BK19" i="19"/>
  <c r="BJ19" i="19"/>
  <c r="BI19" i="19"/>
  <c r="BH19" i="19"/>
  <c r="BG19" i="19"/>
  <c r="Z26" i="1"/>
  <c r="BY18" i="19"/>
  <c r="BX18" i="19"/>
  <c r="BW18" i="19"/>
  <c r="BV18" i="19"/>
  <c r="BU18" i="19"/>
  <c r="BT18" i="19"/>
  <c r="O25" i="1" s="1"/>
  <c r="BS18" i="19"/>
  <c r="BR18" i="19"/>
  <c r="BQ18" i="19"/>
  <c r="BP18" i="19"/>
  <c r="BO18" i="19"/>
  <c r="BN18" i="19"/>
  <c r="BM18" i="19"/>
  <c r="T25" i="1" s="1"/>
  <c r="BL18" i="19"/>
  <c r="BK18" i="19"/>
  <c r="BJ18" i="19"/>
  <c r="BI18" i="19"/>
  <c r="BH18" i="19"/>
  <c r="BG18" i="19"/>
  <c r="Z25" i="1"/>
  <c r="BY17" i="19"/>
  <c r="BX17" i="19"/>
  <c r="BW17" i="19"/>
  <c r="BV17" i="19"/>
  <c r="BU17" i="19"/>
  <c r="BT17" i="19"/>
  <c r="O24" i="1" s="1"/>
  <c r="BS17" i="19"/>
  <c r="BR17" i="19"/>
  <c r="BQ17" i="19"/>
  <c r="BP17" i="19"/>
  <c r="BO17" i="19"/>
  <c r="BN17" i="19"/>
  <c r="BM17" i="19"/>
  <c r="T24" i="1" s="1"/>
  <c r="BL17" i="19"/>
  <c r="BK17" i="19"/>
  <c r="BJ17" i="19"/>
  <c r="BI17" i="19"/>
  <c r="BH17" i="19"/>
  <c r="BG17" i="19"/>
  <c r="Z24" i="1"/>
  <c r="BH24" i="1" s="1"/>
  <c r="BY16" i="19"/>
  <c r="BX16" i="19"/>
  <c r="BW16" i="19"/>
  <c r="BV16" i="19"/>
  <c r="BU16" i="19"/>
  <c r="BT16" i="19"/>
  <c r="O23" i="1" s="1"/>
  <c r="BS16" i="19"/>
  <c r="BR16" i="19"/>
  <c r="BQ16" i="19"/>
  <c r="BP16" i="19"/>
  <c r="BO16" i="19"/>
  <c r="BN16" i="19"/>
  <c r="BM16" i="19"/>
  <c r="T23" i="1" s="1"/>
  <c r="BL16" i="19"/>
  <c r="BK16" i="19"/>
  <c r="BJ16" i="19"/>
  <c r="BI16" i="19"/>
  <c r="BH16" i="19"/>
  <c r="BG16" i="19"/>
  <c r="Z23" i="1"/>
  <c r="BY15" i="19"/>
  <c r="BX15" i="19"/>
  <c r="BW15" i="19"/>
  <c r="BV15" i="19"/>
  <c r="BU15" i="19"/>
  <c r="BT15" i="19"/>
  <c r="O22" i="1" s="1"/>
  <c r="BS15" i="19"/>
  <c r="BR15" i="19"/>
  <c r="BQ15" i="19"/>
  <c r="BP15" i="19"/>
  <c r="BO15" i="19"/>
  <c r="BN15" i="19"/>
  <c r="BM15" i="19"/>
  <c r="T22" i="1" s="1"/>
  <c r="BL15" i="19"/>
  <c r="BK15" i="19"/>
  <c r="BJ15" i="19"/>
  <c r="BI15" i="19"/>
  <c r="BH15" i="19"/>
  <c r="BG15" i="19"/>
  <c r="Z22" i="1"/>
  <c r="BH22" i="1" s="1"/>
  <c r="BY14" i="19"/>
  <c r="BX14" i="19"/>
  <c r="BW14" i="19"/>
  <c r="BV14" i="19"/>
  <c r="BU14" i="19"/>
  <c r="BT14" i="19"/>
  <c r="O21" i="1" s="1"/>
  <c r="BS14" i="19"/>
  <c r="BR14" i="19"/>
  <c r="BQ14" i="19"/>
  <c r="BP14" i="19"/>
  <c r="BO14" i="19"/>
  <c r="BN14" i="19"/>
  <c r="BM14" i="19"/>
  <c r="T21" i="1" s="1"/>
  <c r="BL14" i="19"/>
  <c r="BK14" i="19"/>
  <c r="BJ14" i="19"/>
  <c r="BI14" i="19"/>
  <c r="BH14" i="19"/>
  <c r="BG14" i="19"/>
  <c r="Z21" i="1"/>
  <c r="BH21" i="1" s="1"/>
  <c r="BY13" i="19"/>
  <c r="BX13" i="19"/>
  <c r="BW13" i="19"/>
  <c r="BV13" i="19"/>
  <c r="BU13" i="19"/>
  <c r="BT13" i="19"/>
  <c r="O20" i="1" s="1"/>
  <c r="BS13" i="19"/>
  <c r="BR13" i="19"/>
  <c r="BQ13" i="19"/>
  <c r="BP13" i="19"/>
  <c r="BO13" i="19"/>
  <c r="BN13" i="19"/>
  <c r="BM13" i="19"/>
  <c r="T20" i="1" s="1"/>
  <c r="BL13" i="19"/>
  <c r="BK13" i="19"/>
  <c r="BJ13" i="19"/>
  <c r="BI13" i="19"/>
  <c r="BH13" i="19"/>
  <c r="BG13" i="19"/>
  <c r="Z20" i="1"/>
  <c r="BH20" i="1" s="1"/>
  <c r="BY12" i="19"/>
  <c r="BX12" i="19"/>
  <c r="BW12" i="19"/>
  <c r="BV12" i="19"/>
  <c r="BU12" i="19"/>
  <c r="BT12" i="19"/>
  <c r="O19" i="1" s="1"/>
  <c r="BS12" i="19"/>
  <c r="BR12" i="19"/>
  <c r="BQ12" i="19"/>
  <c r="BP12" i="19"/>
  <c r="BO12" i="19"/>
  <c r="BN12" i="19"/>
  <c r="BM12" i="19"/>
  <c r="T19" i="1" s="1"/>
  <c r="BL12" i="19"/>
  <c r="BK12" i="19"/>
  <c r="BJ12" i="19"/>
  <c r="BI12" i="19"/>
  <c r="BH12" i="19"/>
  <c r="BG12" i="19"/>
  <c r="Z19" i="1"/>
  <c r="BY11" i="19"/>
  <c r="BX11" i="19"/>
  <c r="BW11" i="19"/>
  <c r="BV11" i="19"/>
  <c r="BU11" i="19"/>
  <c r="BT11" i="19"/>
  <c r="O18" i="1" s="1"/>
  <c r="BS11" i="19"/>
  <c r="BR11" i="19"/>
  <c r="BQ11" i="19"/>
  <c r="BP11" i="19"/>
  <c r="BO11" i="19"/>
  <c r="BN11" i="19"/>
  <c r="BM11" i="19"/>
  <c r="T18" i="1" s="1"/>
  <c r="BL11" i="19"/>
  <c r="BK11" i="19"/>
  <c r="BJ11" i="19"/>
  <c r="BI11" i="19"/>
  <c r="BH11" i="19"/>
  <c r="BG11" i="19"/>
  <c r="Z18" i="1"/>
  <c r="BY10" i="19"/>
  <c r="BX10" i="19"/>
  <c r="BW10" i="19"/>
  <c r="BV10" i="19"/>
  <c r="BU10" i="19"/>
  <c r="BT10" i="19"/>
  <c r="O17" i="1" s="1"/>
  <c r="BS10" i="19"/>
  <c r="BR10" i="19"/>
  <c r="BQ10" i="19"/>
  <c r="BP10" i="19"/>
  <c r="BO10" i="19"/>
  <c r="BN10" i="19"/>
  <c r="BM10" i="19"/>
  <c r="T17" i="1" s="1"/>
  <c r="BL10" i="19"/>
  <c r="BK10" i="19"/>
  <c r="BJ10" i="19"/>
  <c r="BI10" i="19"/>
  <c r="BH10" i="19"/>
  <c r="BG10" i="19"/>
  <c r="Z17" i="1"/>
  <c r="BY9" i="19"/>
  <c r="BX9" i="19"/>
  <c r="BW9" i="19"/>
  <c r="BV9" i="19"/>
  <c r="BU9" i="19"/>
  <c r="BT9" i="19"/>
  <c r="O16" i="1" s="1"/>
  <c r="BS9" i="19"/>
  <c r="BR9" i="19"/>
  <c r="BQ9" i="19"/>
  <c r="BP9" i="19"/>
  <c r="BO9" i="19"/>
  <c r="BN9" i="19"/>
  <c r="BM9" i="19"/>
  <c r="BL9" i="19"/>
  <c r="BK9" i="19"/>
  <c r="BJ9" i="19"/>
  <c r="BI9" i="19"/>
  <c r="BH9" i="19"/>
  <c r="BG9" i="19"/>
  <c r="Z16" i="1"/>
  <c r="BH16" i="1" s="1"/>
  <c r="BY8" i="19"/>
  <c r="BX8" i="19"/>
  <c r="BW8" i="19"/>
  <c r="BV8" i="19"/>
  <c r="BU8" i="19"/>
  <c r="BT8" i="19"/>
  <c r="O15" i="1" s="1"/>
  <c r="BS8" i="19"/>
  <c r="BR8" i="19"/>
  <c r="BQ8" i="19"/>
  <c r="BP8" i="19"/>
  <c r="BO8" i="19"/>
  <c r="BN8" i="19"/>
  <c r="BM8" i="19"/>
  <c r="T15" i="1" s="1"/>
  <c r="BL8" i="19"/>
  <c r="BK8" i="19"/>
  <c r="BJ8" i="19"/>
  <c r="BI8" i="19"/>
  <c r="BH8" i="19"/>
  <c r="BG8" i="19"/>
  <c r="Z15" i="1"/>
  <c r="BH15" i="1" s="1"/>
  <c r="BY7" i="19"/>
  <c r="BX7" i="19"/>
  <c r="BW7" i="19"/>
  <c r="BV7" i="19"/>
  <c r="BU7" i="19"/>
  <c r="BT7" i="19"/>
  <c r="O14" i="1" s="1"/>
  <c r="BS7" i="19"/>
  <c r="BR7" i="19"/>
  <c r="BQ7" i="19"/>
  <c r="BP7" i="19"/>
  <c r="BO7" i="19"/>
  <c r="BN7" i="19"/>
  <c r="BM7" i="19"/>
  <c r="T14" i="1" s="1"/>
  <c r="BL7" i="19"/>
  <c r="BK7" i="19"/>
  <c r="BJ7" i="19"/>
  <c r="BI7" i="19"/>
  <c r="BH7" i="19"/>
  <c r="BG7" i="19"/>
  <c r="Z14" i="1"/>
  <c r="BH14" i="1" s="1"/>
  <c r="BY6" i="19"/>
  <c r="BX6" i="19"/>
  <c r="BW6" i="19"/>
  <c r="BV6" i="19"/>
  <c r="BU6" i="19"/>
  <c r="BT6" i="19"/>
  <c r="O13" i="1" s="1"/>
  <c r="BS6" i="19"/>
  <c r="BR6" i="19"/>
  <c r="BQ6" i="19"/>
  <c r="BP6" i="19"/>
  <c r="BO6" i="19"/>
  <c r="BN6" i="19"/>
  <c r="BM6" i="19"/>
  <c r="BL6" i="19"/>
  <c r="BK6" i="19"/>
  <c r="BJ6" i="19"/>
  <c r="BI6" i="19"/>
  <c r="BH6" i="19"/>
  <c r="BG6" i="19"/>
  <c r="Z13" i="1"/>
  <c r="BH13" i="1" s="1"/>
  <c r="BY5" i="19"/>
  <c r="BX5" i="19"/>
  <c r="BW5" i="19"/>
  <c r="BV5" i="19"/>
  <c r="BU5" i="19"/>
  <c r="BT5" i="19"/>
  <c r="O12" i="1" s="1"/>
  <c r="BS5" i="19"/>
  <c r="BR5" i="19"/>
  <c r="BQ5" i="19"/>
  <c r="BP5" i="19"/>
  <c r="BO5" i="19"/>
  <c r="BN5" i="19"/>
  <c r="BM5" i="19"/>
  <c r="BL5" i="19"/>
  <c r="BK5" i="19"/>
  <c r="BJ5" i="19"/>
  <c r="BI5" i="19"/>
  <c r="BH5" i="19"/>
  <c r="BG5" i="19"/>
  <c r="Z12" i="1"/>
  <c r="BH12" i="1" s="1"/>
  <c r="BY4" i="19"/>
  <c r="BX4" i="19"/>
  <c r="BW4" i="19"/>
  <c r="BV4" i="19"/>
  <c r="BU4" i="19"/>
  <c r="BT4" i="19"/>
  <c r="O11" i="1" s="1"/>
  <c r="BS4" i="19"/>
  <c r="BR4" i="19"/>
  <c r="BQ4" i="19"/>
  <c r="BP4" i="19"/>
  <c r="BO4" i="19"/>
  <c r="BN4" i="19"/>
  <c r="BM4" i="19"/>
  <c r="T11" i="1" s="1"/>
  <c r="BL4" i="19"/>
  <c r="BK4" i="19"/>
  <c r="BJ4" i="19"/>
  <c r="BI4" i="19"/>
  <c r="BH4" i="19"/>
  <c r="BG4" i="19"/>
  <c r="Z11" i="1"/>
  <c r="BY3" i="19"/>
  <c r="BX3" i="19"/>
  <c r="BW3" i="19"/>
  <c r="BV3" i="19"/>
  <c r="BU3" i="19"/>
  <c r="BT3" i="19"/>
  <c r="O10" i="1" s="1"/>
  <c r="BS3" i="19"/>
  <c r="BR3" i="19"/>
  <c r="BQ3" i="19"/>
  <c r="BP3" i="19"/>
  <c r="BO3" i="19"/>
  <c r="BN3" i="19"/>
  <c r="BM3" i="19"/>
  <c r="T10" i="1" s="1"/>
  <c r="BL3" i="19"/>
  <c r="BK3" i="19"/>
  <c r="BJ3" i="19"/>
  <c r="BI3" i="19"/>
  <c r="BH3" i="19"/>
  <c r="BG3" i="19"/>
  <c r="Z10" i="1"/>
  <c r="AG12" i="1"/>
  <c r="AL12" i="1"/>
  <c r="AQ12" i="1"/>
  <c r="BA12" i="1"/>
  <c r="AX12" i="1"/>
  <c r="BE11" i="1"/>
  <c r="P11" i="1" s="1"/>
  <c r="BE12" i="1"/>
  <c r="BE13" i="1"/>
  <c r="P13" i="1" s="1"/>
  <c r="BE28" i="1"/>
  <c r="P28" i="1" s="1"/>
  <c r="BH10" i="1" l="1"/>
  <c r="AR10" i="1"/>
  <c r="BH26" i="1"/>
  <c r="BH18" i="1"/>
  <c r="BH11" i="1"/>
  <c r="BH17" i="1"/>
  <c r="BH19" i="1"/>
  <c r="BH23" i="1"/>
  <c r="BH25" i="1"/>
  <c r="BH27" i="1"/>
  <c r="BH29" i="1"/>
  <c r="BH31" i="1"/>
  <c r="BH33" i="1"/>
  <c r="BE32" i="1"/>
  <c r="P32" i="1" s="1"/>
  <c r="BE24" i="1"/>
  <c r="P24" i="1" s="1"/>
  <c r="BE10" i="1"/>
  <c r="BE33" i="1"/>
  <c r="P33" i="1" s="1"/>
  <c r="BE16" i="1"/>
  <c r="P16" i="1" s="1"/>
  <c r="BB12" i="1"/>
  <c r="BE26" i="1"/>
  <c r="P26" i="1" s="1"/>
  <c r="BE18" i="1"/>
  <c r="P18" i="1" s="1"/>
  <c r="BE25" i="1"/>
  <c r="P25" i="1" s="1"/>
  <c r="BE17" i="1"/>
  <c r="P17" i="1" s="1"/>
  <c r="BA11" i="1"/>
  <c r="BB11" i="1"/>
  <c r="BA13" i="1"/>
  <c r="BB13" i="1"/>
  <c r="BA14" i="1"/>
  <c r="BB14" i="1"/>
  <c r="BA15" i="1"/>
  <c r="BB15" i="1"/>
  <c r="BA16" i="1"/>
  <c r="BB16" i="1"/>
  <c r="BA17" i="1"/>
  <c r="BB17" i="1"/>
  <c r="BA18" i="1"/>
  <c r="BB18" i="1"/>
  <c r="BA19" i="1"/>
  <c r="BB19" i="1"/>
  <c r="BA20" i="1"/>
  <c r="BB20" i="1"/>
  <c r="BA21" i="1"/>
  <c r="BB21" i="1"/>
  <c r="BA22" i="1"/>
  <c r="BB22" i="1"/>
  <c r="BA23" i="1"/>
  <c r="BB23" i="1"/>
  <c r="BA24" i="1"/>
  <c r="BB24" i="1"/>
  <c r="BA25" i="1"/>
  <c r="BB25" i="1"/>
  <c r="BA26" i="1"/>
  <c r="BB26" i="1"/>
  <c r="BA27" i="1"/>
  <c r="BB27" i="1"/>
  <c r="BA28" i="1"/>
  <c r="BB28" i="1"/>
  <c r="BA29" i="1"/>
  <c r="BB29" i="1"/>
  <c r="BA30" i="1"/>
  <c r="BB30" i="1"/>
  <c r="BA31" i="1"/>
  <c r="BB31" i="1"/>
  <c r="BA32" i="1"/>
  <c r="BB32" i="1"/>
  <c r="BA33" i="1"/>
  <c r="BB33" i="1"/>
  <c r="BA34" i="1"/>
  <c r="BB34" i="1"/>
  <c r="BA35" i="1"/>
  <c r="BB35" i="1"/>
  <c r="BA36" i="1"/>
  <c r="BB36" i="1"/>
  <c r="BA37" i="1"/>
  <c r="BB37" i="1"/>
  <c r="BB10" i="1"/>
  <c r="BA10" i="1"/>
  <c r="B10" i="6"/>
  <c r="G10" i="6"/>
  <c r="AG10" i="6"/>
  <c r="AJ10" i="6"/>
  <c r="AO10" i="6"/>
  <c r="AP10" i="6"/>
  <c r="AX10" i="6"/>
  <c r="B11" i="6"/>
  <c r="G11" i="6"/>
  <c r="AX11" i="6"/>
  <c r="G12" i="6"/>
  <c r="AG12" i="6"/>
  <c r="AJ12" i="6"/>
  <c r="AO12" i="6"/>
  <c r="AX12" i="6"/>
  <c r="G13" i="6"/>
  <c r="AG13" i="6"/>
  <c r="AJ13" i="6"/>
  <c r="AO13" i="6"/>
  <c r="AX13" i="6"/>
  <c r="B14" i="6"/>
  <c r="G14" i="6"/>
  <c r="AG14" i="6"/>
  <c r="AJ14" i="6"/>
  <c r="AO14" i="6"/>
  <c r="AX14" i="6"/>
  <c r="G15" i="6"/>
  <c r="AG15" i="6"/>
  <c r="AJ15" i="6"/>
  <c r="AO15" i="6"/>
  <c r="AX15" i="6"/>
  <c r="B16" i="6"/>
  <c r="AQ14" i="6" s="1"/>
  <c r="G16" i="6"/>
  <c r="AG16" i="6"/>
  <c r="AJ16" i="6"/>
  <c r="AO16" i="6"/>
  <c r="AX16" i="6"/>
  <c r="G17" i="6"/>
  <c r="AG17" i="6"/>
  <c r="AJ17" i="6"/>
  <c r="AO17" i="6"/>
  <c r="AX17" i="6"/>
  <c r="G18" i="6"/>
  <c r="AG18" i="6"/>
  <c r="AJ18" i="6"/>
  <c r="AO18" i="6"/>
  <c r="AX18" i="6"/>
  <c r="G19" i="6"/>
  <c r="AG19" i="6"/>
  <c r="AJ19" i="6"/>
  <c r="AO19" i="6"/>
  <c r="AS19" i="6"/>
  <c r="AX19" i="6"/>
  <c r="G20" i="6"/>
  <c r="AG20" i="6"/>
  <c r="AJ20" i="6"/>
  <c r="AO20" i="6"/>
  <c r="AX20" i="6"/>
  <c r="G21" i="6"/>
  <c r="AG21" i="6"/>
  <c r="AJ21" i="6"/>
  <c r="AO21" i="6"/>
  <c r="AS21" i="6"/>
  <c r="AX21" i="6"/>
  <c r="G22" i="6"/>
  <c r="AG22" i="6"/>
  <c r="AJ22" i="6"/>
  <c r="AO22" i="6"/>
  <c r="AS22" i="6"/>
  <c r="AX22" i="6"/>
  <c r="G23" i="6"/>
  <c r="AG23" i="6"/>
  <c r="AJ23" i="6"/>
  <c r="AO23" i="6"/>
  <c r="AX23" i="6"/>
  <c r="G24" i="6"/>
  <c r="AG24" i="6"/>
  <c r="AJ24" i="6"/>
  <c r="AO24" i="6"/>
  <c r="AS24" i="6"/>
  <c r="AX24" i="6"/>
  <c r="G25" i="6"/>
  <c r="AG25" i="6"/>
  <c r="AJ25" i="6"/>
  <c r="AO25" i="6"/>
  <c r="AX25" i="6"/>
  <c r="G26" i="6"/>
  <c r="AG26" i="6"/>
  <c r="AJ26" i="6"/>
  <c r="AO26" i="6"/>
  <c r="AS26" i="6"/>
  <c r="AX26" i="6"/>
  <c r="G27" i="6"/>
  <c r="AG27" i="6"/>
  <c r="AJ27" i="6"/>
  <c r="AO27" i="6"/>
  <c r="AX27" i="6"/>
  <c r="G28" i="6"/>
  <c r="AG28" i="6"/>
  <c r="AJ28" i="6"/>
  <c r="AO28" i="6"/>
  <c r="AX28" i="6"/>
  <c r="G29" i="6"/>
  <c r="AG29" i="6"/>
  <c r="AJ29" i="6"/>
  <c r="AO29" i="6"/>
  <c r="AX29" i="6"/>
  <c r="G30" i="6"/>
  <c r="AG30" i="6"/>
  <c r="AJ30" i="6"/>
  <c r="AO30" i="6"/>
  <c r="AX30" i="6"/>
  <c r="G31" i="6"/>
  <c r="AG31" i="6"/>
  <c r="AJ31" i="6"/>
  <c r="AO31" i="6"/>
  <c r="AX31" i="6"/>
  <c r="G32" i="6"/>
  <c r="AG32" i="6"/>
  <c r="AJ32" i="6"/>
  <c r="AO32" i="6"/>
  <c r="AX32" i="6"/>
  <c r="B10" i="1"/>
  <c r="AG10" i="1"/>
  <c r="AL10" i="1"/>
  <c r="G10" i="1" s="1"/>
  <c r="G11" i="1" s="1"/>
  <c r="AQ10" i="1"/>
  <c r="AX10" i="1"/>
  <c r="B11" i="1"/>
  <c r="B12" i="1" s="1"/>
  <c r="AG11" i="1"/>
  <c r="AL11" i="1"/>
  <c r="AQ11" i="1"/>
  <c r="AX11" i="1"/>
  <c r="AG13" i="1"/>
  <c r="AL13" i="1"/>
  <c r="G13" i="1" s="1"/>
  <c r="AQ13" i="1"/>
  <c r="AX13" i="1"/>
  <c r="B13" i="1"/>
  <c r="AG14" i="1"/>
  <c r="AL14" i="1"/>
  <c r="G14" i="1" s="1"/>
  <c r="AQ14" i="1"/>
  <c r="AX14" i="1"/>
  <c r="B14" i="1"/>
  <c r="AG15" i="1"/>
  <c r="AL15" i="1"/>
  <c r="G15" i="1" s="1"/>
  <c r="AQ15" i="1"/>
  <c r="AX15" i="1"/>
  <c r="AG16" i="1"/>
  <c r="AL16" i="1"/>
  <c r="G16" i="1" s="1"/>
  <c r="AQ16" i="1"/>
  <c r="AX16" i="1"/>
  <c r="B16" i="1"/>
  <c r="AG17" i="1"/>
  <c r="AL17" i="1"/>
  <c r="G17" i="1" s="1"/>
  <c r="AQ17" i="1"/>
  <c r="AX17" i="1"/>
  <c r="AG18" i="1"/>
  <c r="AL18" i="1"/>
  <c r="G18" i="1" s="1"/>
  <c r="AQ18" i="1"/>
  <c r="AX18" i="1"/>
  <c r="AG19" i="1"/>
  <c r="AL19" i="1"/>
  <c r="G19" i="1" s="1"/>
  <c r="AQ19" i="1"/>
  <c r="AX19" i="1"/>
  <c r="AG20" i="1"/>
  <c r="AL20" i="1"/>
  <c r="G20" i="1" s="1"/>
  <c r="AQ20" i="1"/>
  <c r="AX20" i="1"/>
  <c r="AG21" i="1"/>
  <c r="AL21" i="1"/>
  <c r="G21" i="1" s="1"/>
  <c r="AQ21" i="1"/>
  <c r="AX21" i="1"/>
  <c r="AG22" i="1"/>
  <c r="AL22" i="1"/>
  <c r="G22" i="1" s="1"/>
  <c r="AQ22" i="1"/>
  <c r="AX22" i="1"/>
  <c r="G23" i="1"/>
  <c r="AG23" i="1"/>
  <c r="AL23" i="1"/>
  <c r="AQ23" i="1"/>
  <c r="AX23" i="1"/>
  <c r="G24" i="1"/>
  <c r="AG24" i="1"/>
  <c r="AL24" i="1"/>
  <c r="AQ24" i="1"/>
  <c r="AX24" i="1"/>
  <c r="G25" i="1"/>
  <c r="AG25" i="1"/>
  <c r="AL25" i="1"/>
  <c r="AQ25" i="1"/>
  <c r="AX25" i="1"/>
  <c r="AG26" i="1"/>
  <c r="AL26" i="1"/>
  <c r="G26" i="1" s="1"/>
  <c r="AQ26" i="1"/>
  <c r="AX26" i="1"/>
  <c r="G27" i="1"/>
  <c r="AG27" i="1"/>
  <c r="AL27" i="1"/>
  <c r="AQ27" i="1"/>
  <c r="AX27" i="1"/>
  <c r="G28" i="1"/>
  <c r="AG28" i="1"/>
  <c r="AL28" i="1"/>
  <c r="AQ28" i="1"/>
  <c r="AX28" i="1"/>
  <c r="G29" i="1"/>
  <c r="AG29" i="1"/>
  <c r="AL29" i="1"/>
  <c r="AQ29" i="1"/>
  <c r="AX29" i="1"/>
  <c r="G30" i="1"/>
  <c r="AG30" i="1"/>
  <c r="AL30" i="1"/>
  <c r="AQ30" i="1"/>
  <c r="AX30" i="1"/>
  <c r="G31" i="1"/>
  <c r="AG31" i="1"/>
  <c r="AL31" i="1"/>
  <c r="AQ31" i="1"/>
  <c r="AX31" i="1"/>
  <c r="G32" i="1"/>
  <c r="AG32" i="1"/>
  <c r="AL32" i="1"/>
  <c r="AQ32" i="1"/>
  <c r="AX32" i="1"/>
  <c r="G33" i="1"/>
  <c r="AG33" i="1"/>
  <c r="AL33" i="1"/>
  <c r="AQ33" i="1"/>
  <c r="AX33" i="1"/>
  <c r="AX34" i="1"/>
  <c r="D2" i="20"/>
  <c r="D3" i="20"/>
  <c r="D4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AP10" i="1" l="1"/>
  <c r="AS26" i="1"/>
  <c r="AP20" i="1"/>
  <c r="AS18" i="1"/>
  <c r="AS23" i="1"/>
  <c r="AN12" i="6"/>
  <c r="AS19" i="1"/>
  <c r="AS22" i="1"/>
  <c r="B22" i="1"/>
  <c r="AU21" i="6"/>
  <c r="AV21" i="6" s="1"/>
  <c r="AM21" i="6" s="1"/>
  <c r="AP18" i="1"/>
  <c r="AU28" i="6"/>
  <c r="AV28" i="6" s="1"/>
  <c r="AM28" i="6" s="1"/>
  <c r="AN16" i="6"/>
  <c r="AQ19" i="6"/>
  <c r="AQ20" i="6"/>
  <c r="AN15" i="6"/>
  <c r="AW29" i="1"/>
  <c r="AO29" i="1" s="1"/>
  <c r="AQ12" i="6"/>
  <c r="AW26" i="1"/>
  <c r="AO26" i="1" s="1"/>
  <c r="AP22" i="1"/>
  <c r="AU25" i="6"/>
  <c r="AV25" i="6" s="1"/>
  <c r="AM25" i="6" s="1"/>
  <c r="AP14" i="1"/>
  <c r="AW33" i="1"/>
  <c r="AO33" i="1" s="1"/>
  <c r="AW30" i="1"/>
  <c r="AO30" i="1" s="1"/>
  <c r="AP15" i="1"/>
  <c r="AN32" i="6"/>
  <c r="AN17" i="6"/>
  <c r="AW27" i="1"/>
  <c r="AO27" i="1" s="1"/>
  <c r="AW24" i="1"/>
  <c r="AO24" i="1" s="1"/>
  <c r="AP31" i="1"/>
  <c r="AQ13" i="6"/>
  <c r="AQ10" i="6"/>
  <c r="AP23" i="1"/>
  <c r="AQ22" i="6"/>
  <c r="AQ21" i="6"/>
  <c r="AQ16" i="6"/>
  <c r="AQ15" i="6"/>
  <c r="AS31" i="1"/>
  <c r="AS24" i="1"/>
  <c r="AQ29" i="6"/>
  <c r="AQ27" i="6"/>
  <c r="AQ26" i="6"/>
  <c r="AQ23" i="6"/>
  <c r="AQ17" i="6"/>
  <c r="AS32" i="1"/>
  <c r="AS25" i="1"/>
  <c r="AS30" i="1"/>
  <c r="AS20" i="1"/>
  <c r="AQ30" i="6"/>
  <c r="AQ28" i="6"/>
  <c r="AQ25" i="6"/>
  <c r="AQ24" i="6"/>
  <c r="AS33" i="1"/>
  <c r="AS29" i="1"/>
  <c r="AP19" i="1"/>
  <c r="AP32" i="1"/>
  <c r="AP29" i="1"/>
  <c r="AP28" i="1"/>
  <c r="AW21" i="1"/>
  <c r="AO21" i="1" s="1"/>
  <c r="AQ32" i="6"/>
  <c r="AQ31" i="6"/>
  <c r="AQ18" i="6"/>
  <c r="AS13" i="1"/>
  <c r="AS12" i="1"/>
  <c r="AS28" i="1"/>
  <c r="AS16" i="1"/>
  <c r="AS27" i="1"/>
  <c r="AP12" i="1"/>
  <c r="AW12" i="1"/>
  <c r="AO12" i="1" s="1"/>
  <c r="AS21" i="1"/>
  <c r="AP17" i="1"/>
  <c r="AS10" i="1"/>
  <c r="AS11" i="1"/>
  <c r="AW15" i="1"/>
  <c r="AO15" i="1" s="1"/>
  <c r="AP26" i="1"/>
  <c r="AW19" i="1"/>
  <c r="AO19" i="1" s="1"/>
  <c r="AW18" i="1"/>
  <c r="AO18" i="1" s="1"/>
  <c r="AS17" i="1"/>
  <c r="AW16" i="1"/>
  <c r="AO16" i="1" s="1"/>
  <c r="AS15" i="1"/>
  <c r="AS14" i="1"/>
  <c r="AW13" i="1"/>
  <c r="AO13" i="1" s="1"/>
  <c r="AP16" i="1"/>
  <c r="AW23" i="1"/>
  <c r="AO23" i="1" s="1"/>
  <c r="AP25" i="1"/>
  <c r="AW11" i="1"/>
  <c r="AO11" i="1" s="1"/>
  <c r="AP11" i="1"/>
  <c r="AP33" i="1"/>
  <c r="AW31" i="1"/>
  <c r="AO31" i="1" s="1"/>
  <c r="AW28" i="1"/>
  <c r="AO28" i="1" s="1"/>
  <c r="AW22" i="1"/>
  <c r="AO22" i="1" s="1"/>
  <c r="AP21" i="1"/>
  <c r="AW17" i="1"/>
  <c r="AO17" i="1" s="1"/>
  <c r="AP30" i="1"/>
  <c r="AP27" i="1"/>
  <c r="AW25" i="1"/>
  <c r="AO25" i="1" s="1"/>
  <c r="AP24" i="1"/>
  <c r="AW14" i="1"/>
  <c r="AO14" i="1" s="1"/>
  <c r="AW10" i="1"/>
  <c r="AO10" i="1" s="1"/>
  <c r="AW32" i="1"/>
  <c r="AO32" i="1" s="1"/>
  <c r="AW20" i="1"/>
  <c r="AO20" i="1" s="1"/>
  <c r="AP13" i="1"/>
  <c r="AU18" i="6"/>
  <c r="AU19" i="6"/>
  <c r="AU22" i="6"/>
  <c r="AN29" i="6"/>
  <c r="AU17" i="6"/>
  <c r="AN28" i="6"/>
  <c r="AU32" i="6"/>
  <c r="AN10" i="6"/>
  <c r="AU15" i="6"/>
  <c r="AU16" i="6"/>
  <c r="AN21" i="6"/>
  <c r="B22" i="6"/>
  <c r="AN24" i="6"/>
  <c r="AN25" i="6"/>
  <c r="AN26" i="6"/>
  <c r="AN27" i="6"/>
  <c r="AU31" i="6"/>
  <c r="AU12" i="6"/>
  <c r="AU13" i="6"/>
  <c r="AU14" i="6"/>
  <c r="AN19" i="6"/>
  <c r="AN20" i="6"/>
  <c r="AN22" i="6"/>
  <c r="AN23" i="6"/>
  <c r="AU30" i="6"/>
  <c r="AN18" i="6"/>
  <c r="AU29" i="6"/>
  <c r="AN31" i="6"/>
  <c r="AN14" i="6"/>
  <c r="AU27" i="6"/>
  <c r="AU24" i="6"/>
  <c r="AU20" i="6"/>
  <c r="AN30" i="6"/>
  <c r="AU10" i="6"/>
  <c r="AU26" i="6"/>
  <c r="AN13" i="6"/>
  <c r="AU23" i="6"/>
  <c r="AM15" i="1" l="1"/>
  <c r="AN15" i="1" s="1"/>
  <c r="AM10" i="1"/>
  <c r="AN10" i="1" s="1"/>
  <c r="AH10" i="1" s="1"/>
  <c r="P3" i="21" s="1"/>
  <c r="AM12" i="1"/>
  <c r="AN12" i="1" s="1"/>
  <c r="AM21" i="1"/>
  <c r="AN21" i="1" s="1"/>
  <c r="AM26" i="1"/>
  <c r="AN26" i="1" s="1"/>
  <c r="AM30" i="1"/>
  <c r="AN30" i="1" s="1"/>
  <c r="AM17" i="1"/>
  <c r="AN17" i="1" s="1"/>
  <c r="AM18" i="1"/>
  <c r="AN18" i="1" s="1"/>
  <c r="AM22" i="1"/>
  <c r="AN22" i="1" s="1"/>
  <c r="AM28" i="1"/>
  <c r="AN28" i="1" s="1"/>
  <c r="AM24" i="1"/>
  <c r="AN24" i="1" s="1"/>
  <c r="AM23" i="1"/>
  <c r="AN23" i="1" s="1"/>
  <c r="AM11" i="1"/>
  <c r="AN11" i="1" s="1"/>
  <c r="AM31" i="1"/>
  <c r="AN31" i="1" s="1"/>
  <c r="AM19" i="1"/>
  <c r="AN19" i="1" s="1"/>
  <c r="AM14" i="1"/>
  <c r="AN14" i="1" s="1"/>
  <c r="AM20" i="1"/>
  <c r="AN20" i="1" s="1"/>
  <c r="AM33" i="1"/>
  <c r="AM16" i="1"/>
  <c r="AN16" i="1" s="1"/>
  <c r="AM32" i="1"/>
  <c r="AN32" i="1" s="1"/>
  <c r="AM13" i="1"/>
  <c r="AN13" i="1" s="1"/>
  <c r="AM29" i="1"/>
  <c r="AN29" i="1" s="1"/>
  <c r="AM27" i="1"/>
  <c r="AN27" i="1" s="1"/>
  <c r="AM25" i="1"/>
  <c r="AN25" i="1" s="1"/>
  <c r="AV32" i="6"/>
  <c r="AM32" i="6" s="1"/>
  <c r="AV31" i="6"/>
  <c r="AM31" i="6" s="1"/>
  <c r="AV15" i="6"/>
  <c r="AM15" i="6" s="1"/>
  <c r="AV23" i="6"/>
  <c r="AM23" i="6" s="1"/>
  <c r="AV20" i="6"/>
  <c r="AM20" i="6" s="1"/>
  <c r="AV10" i="6"/>
  <c r="AM10" i="6" s="1"/>
  <c r="AV30" i="6"/>
  <c r="AM30" i="6" s="1"/>
  <c r="AV18" i="6"/>
  <c r="AM18" i="6" s="1"/>
  <c r="AV17" i="6"/>
  <c r="AM17" i="6" s="1"/>
  <c r="AV14" i="6"/>
  <c r="AM14" i="6" s="1"/>
  <c r="AK19" i="6"/>
  <c r="AL19" i="6" s="1"/>
  <c r="AK20" i="6"/>
  <c r="AL20" i="6" s="1"/>
  <c r="AK22" i="6"/>
  <c r="AL22" i="6" s="1"/>
  <c r="AK23" i="6"/>
  <c r="AL23" i="6" s="1"/>
  <c r="AK18" i="6"/>
  <c r="AL18" i="6" s="1"/>
  <c r="AK17" i="6"/>
  <c r="AL17" i="6" s="1"/>
  <c r="AK32" i="6"/>
  <c r="AL32" i="6" s="1"/>
  <c r="AK15" i="6"/>
  <c r="AL15" i="6" s="1"/>
  <c r="AK16" i="6"/>
  <c r="AL16" i="6" s="1"/>
  <c r="AK31" i="6"/>
  <c r="AL31" i="6" s="1"/>
  <c r="AK12" i="6"/>
  <c r="AL12" i="6" s="1"/>
  <c r="AK13" i="6"/>
  <c r="AL13" i="6" s="1"/>
  <c r="AK14" i="6"/>
  <c r="AL14" i="6" s="1"/>
  <c r="AK30" i="6"/>
  <c r="AL30" i="6" s="1"/>
  <c r="AK21" i="6"/>
  <c r="AL21" i="6" s="1"/>
  <c r="AK25" i="6"/>
  <c r="AL25" i="6" s="1"/>
  <c r="AK28" i="6"/>
  <c r="AL28" i="6" s="1"/>
  <c r="AK26" i="6"/>
  <c r="AL26" i="6" s="1"/>
  <c r="AK29" i="6"/>
  <c r="AL29" i="6" s="1"/>
  <c r="AK10" i="6"/>
  <c r="AL10" i="6" s="1"/>
  <c r="AK24" i="6"/>
  <c r="AL24" i="6" s="1"/>
  <c r="AK27" i="6"/>
  <c r="AL27" i="6" s="1"/>
  <c r="AV24" i="6"/>
  <c r="AM24" i="6" s="1"/>
  <c r="AV29" i="6"/>
  <c r="AM29" i="6" s="1"/>
  <c r="AV13" i="6"/>
  <c r="AM13" i="6" s="1"/>
  <c r="AV22" i="6"/>
  <c r="AM22" i="6" s="1"/>
  <c r="AV26" i="6"/>
  <c r="AM26" i="6" s="1"/>
  <c r="AV27" i="6"/>
  <c r="AM27" i="6" s="1"/>
  <c r="AV12" i="6"/>
  <c r="AM12" i="6" s="1"/>
  <c r="AV16" i="6"/>
  <c r="AM16" i="6" s="1"/>
  <c r="AV19" i="6"/>
  <c r="AM19" i="6" s="1"/>
  <c r="Q10" i="21" l="1"/>
  <c r="Q19" i="21"/>
  <c r="Q7" i="21"/>
  <c r="Q4" i="21"/>
  <c r="Q26" i="21"/>
  <c r="Q17" i="21"/>
  <c r="Q15" i="21"/>
  <c r="Q20" i="21"/>
  <c r="Q25" i="21"/>
  <c r="Q11" i="21"/>
  <c r="Q6" i="21"/>
  <c r="Q12" i="21"/>
  <c r="Q22" i="21"/>
  <c r="Q3" i="21"/>
  <c r="Q8" i="21"/>
  <c r="Q14" i="21"/>
  <c r="Q5" i="21"/>
  <c r="Q9" i="21"/>
  <c r="Q23" i="21"/>
  <c r="Q18" i="21"/>
  <c r="Q24" i="21"/>
  <c r="Q21" i="21"/>
  <c r="Q16" i="21"/>
  <c r="Q13" i="21"/>
  <c r="AT10" i="1"/>
  <c r="AN33" i="1"/>
  <c r="AH10" i="6"/>
  <c r="R14" i="21" l="1"/>
  <c r="S14" i="21"/>
  <c r="I14" i="20" s="1"/>
  <c r="S16" i="21"/>
  <c r="I16" i="20" s="1"/>
  <c r="R16" i="21"/>
  <c r="S21" i="21"/>
  <c r="I21" i="20" s="1"/>
  <c r="R21" i="21"/>
  <c r="S17" i="21"/>
  <c r="I17" i="20" s="1"/>
  <c r="R17" i="21"/>
  <c r="S24" i="21"/>
  <c r="I24" i="20" s="1"/>
  <c r="R24" i="21"/>
  <c r="S18" i="21"/>
  <c r="I18" i="20" s="1"/>
  <c r="R18" i="21"/>
  <c r="S4" i="21"/>
  <c r="I4" i="20" s="1"/>
  <c r="R4" i="21"/>
  <c r="S6" i="21"/>
  <c r="I6" i="20" s="1"/>
  <c r="R6" i="21"/>
  <c r="S19" i="21"/>
  <c r="I19" i="20" s="1"/>
  <c r="R19" i="21"/>
  <c r="S13" i="21"/>
  <c r="I13" i="20" s="1"/>
  <c r="R13" i="21"/>
  <c r="S20" i="21"/>
  <c r="I20" i="20" s="1"/>
  <c r="R20" i="21"/>
  <c r="S8" i="21"/>
  <c r="I8" i="20" s="1"/>
  <c r="R8" i="21"/>
  <c r="R15" i="21"/>
  <c r="S15" i="21"/>
  <c r="I15" i="20" s="1"/>
  <c r="S3" i="21"/>
  <c r="I3" i="20" s="1"/>
  <c r="R3" i="21"/>
  <c r="S22" i="21"/>
  <c r="I22" i="20" s="1"/>
  <c r="R22" i="21"/>
  <c r="S26" i="21"/>
  <c r="I26" i="20" s="1"/>
  <c r="R26" i="21"/>
  <c r="S12" i="21"/>
  <c r="I12" i="20" s="1"/>
  <c r="R12" i="21"/>
  <c r="R23" i="21"/>
  <c r="S23" i="21"/>
  <c r="I23" i="20" s="1"/>
  <c r="S7" i="21"/>
  <c r="I7" i="20" s="1"/>
  <c r="R7" i="21"/>
  <c r="S9" i="21"/>
  <c r="I9" i="20" s="1"/>
  <c r="R9" i="21"/>
  <c r="S11" i="21"/>
  <c r="I11" i="20" s="1"/>
  <c r="R11" i="21"/>
  <c r="S5" i="21"/>
  <c r="I5" i="20" s="1"/>
  <c r="R5" i="21"/>
  <c r="S25" i="21"/>
  <c r="I25" i="20" s="1"/>
  <c r="R25" i="21"/>
  <c r="S10" i="21"/>
  <c r="I10" i="20" s="1"/>
  <c r="R10" i="21"/>
  <c r="AT28" i="1"/>
  <c r="AK28" i="1" s="1"/>
  <c r="E28" i="1" s="1"/>
  <c r="AT32" i="1"/>
  <c r="AK32" i="1" s="1"/>
  <c r="E32" i="1" s="1"/>
  <c r="AT26" i="1"/>
  <c r="AK26" i="1" s="1"/>
  <c r="E26" i="1" s="1"/>
  <c r="AT24" i="1"/>
  <c r="AK24" i="1" s="1"/>
  <c r="E24" i="1" s="1"/>
  <c r="AT27" i="1"/>
  <c r="AK27" i="1" s="1"/>
  <c r="E27" i="1" s="1"/>
  <c r="AT25" i="1"/>
  <c r="AK25" i="1" s="1"/>
  <c r="E25" i="1" s="1"/>
  <c r="AT33" i="1"/>
  <c r="AK33" i="1" s="1"/>
  <c r="E33" i="1" s="1"/>
  <c r="AT30" i="1"/>
  <c r="AK30" i="1" s="1"/>
  <c r="E30" i="1" s="1"/>
  <c r="AT29" i="1"/>
  <c r="AK29" i="1" s="1"/>
  <c r="E29" i="1" s="1"/>
  <c r="AT31" i="1"/>
  <c r="AK31" i="1" s="1"/>
  <c r="E31" i="1" s="1"/>
  <c r="AR31" i="6"/>
  <c r="AI31" i="6" s="1"/>
  <c r="E31" i="6" s="1"/>
  <c r="AR27" i="6"/>
  <c r="AI27" i="6" s="1"/>
  <c r="E27" i="6" s="1"/>
  <c r="AR32" i="6"/>
  <c r="AI32" i="6" s="1"/>
  <c r="E32" i="6" s="1"/>
  <c r="AR24" i="6"/>
  <c r="AI24" i="6" s="1"/>
  <c r="E24" i="6" s="1"/>
  <c r="AR29" i="6"/>
  <c r="AI29" i="6" s="1"/>
  <c r="E29" i="6" s="1"/>
  <c r="AR25" i="6"/>
  <c r="AI25" i="6" s="1"/>
  <c r="E25" i="6" s="1"/>
  <c r="AR26" i="6"/>
  <c r="AI26" i="6" s="1"/>
  <c r="E26" i="6" s="1"/>
  <c r="AR23" i="6"/>
  <c r="AI23" i="6" s="1"/>
  <c r="E23" i="6" s="1"/>
  <c r="AR30" i="6"/>
  <c r="AI30" i="6" s="1"/>
  <c r="E30" i="6" s="1"/>
  <c r="AR28" i="6"/>
  <c r="AI28" i="6" s="1"/>
  <c r="E28" i="6" s="1"/>
  <c r="AT11" i="1"/>
  <c r="AK11" i="1" s="1"/>
  <c r="E11" i="1" s="1"/>
  <c r="AT19" i="1"/>
  <c r="AK19" i="1" s="1"/>
  <c r="E19" i="1" s="1"/>
  <c r="AT12" i="1"/>
  <c r="AK12" i="1" s="1"/>
  <c r="E12" i="1" s="1"/>
  <c r="AT20" i="1"/>
  <c r="AK20" i="1" s="1"/>
  <c r="E20" i="1" s="1"/>
  <c r="AT13" i="1"/>
  <c r="AK13" i="1" s="1"/>
  <c r="E13" i="1" s="1"/>
  <c r="AT21" i="1"/>
  <c r="AK21" i="1" s="1"/>
  <c r="E21" i="1" s="1"/>
  <c r="AT22" i="1"/>
  <c r="AK22" i="1" s="1"/>
  <c r="E22" i="1" s="1"/>
  <c r="AT23" i="1"/>
  <c r="AK23" i="1" s="1"/>
  <c r="E23" i="1" s="1"/>
  <c r="AT14" i="1"/>
  <c r="AK14" i="1" s="1"/>
  <c r="E14" i="1" s="1"/>
  <c r="AT15" i="1"/>
  <c r="AK15" i="1" s="1"/>
  <c r="E15" i="1" s="1"/>
  <c r="AT16" i="1"/>
  <c r="AK16" i="1" s="1"/>
  <c r="E16" i="1" s="1"/>
  <c r="AT17" i="1"/>
  <c r="AK17" i="1" s="1"/>
  <c r="E17" i="1" s="1"/>
  <c r="AT18" i="1"/>
  <c r="AK18" i="1" s="1"/>
  <c r="E18" i="1" s="1"/>
  <c r="AK10" i="1"/>
  <c r="E10" i="1" s="1"/>
  <c r="E4" i="1" s="1"/>
  <c r="B26" i="1"/>
  <c r="AR17" i="6"/>
  <c r="AI17" i="6" s="1"/>
  <c r="E17" i="6" s="1"/>
  <c r="AR15" i="6"/>
  <c r="AI15" i="6" s="1"/>
  <c r="E15" i="6" s="1"/>
  <c r="AR16" i="6"/>
  <c r="AI16" i="6" s="1"/>
  <c r="E16" i="6" s="1"/>
  <c r="B26" i="6"/>
  <c r="AR12" i="6"/>
  <c r="AI12" i="6" s="1"/>
  <c r="E12" i="6" s="1"/>
  <c r="AR13" i="6"/>
  <c r="AI13" i="6" s="1"/>
  <c r="E13" i="6" s="1"/>
  <c r="AR14" i="6"/>
  <c r="AI14" i="6" s="1"/>
  <c r="E14" i="6" s="1"/>
  <c r="AR10" i="6"/>
  <c r="AI10" i="6" s="1"/>
  <c r="E10" i="6" s="1"/>
  <c r="AR18" i="6"/>
  <c r="AI18" i="6" s="1"/>
  <c r="E18" i="6" s="1"/>
  <c r="AR19" i="6"/>
  <c r="AI19" i="6" s="1"/>
  <c r="E19" i="6" s="1"/>
  <c r="AR20" i="6"/>
  <c r="AI20" i="6" s="1"/>
  <c r="E20" i="6" s="1"/>
  <c r="AR21" i="6"/>
  <c r="AI21" i="6" s="1"/>
  <c r="E21" i="6" s="1"/>
  <c r="AR22" i="6"/>
  <c r="AI22" i="6" s="1"/>
  <c r="E22" i="6" s="1"/>
  <c r="T26" i="21" l="1"/>
  <c r="J26" i="20" s="1"/>
  <c r="H26" i="20"/>
  <c r="T7" i="21"/>
  <c r="J7" i="20" s="1"/>
  <c r="H7" i="20"/>
  <c r="H4" i="20"/>
  <c r="T4" i="21"/>
  <c r="J4" i="20" s="1"/>
  <c r="H18" i="20"/>
  <c r="T18" i="21"/>
  <c r="J18" i="20" s="1"/>
  <c r="T10" i="21"/>
  <c r="J10" i="20" s="1"/>
  <c r="H10" i="20"/>
  <c r="T17" i="21"/>
  <c r="J17" i="20" s="1"/>
  <c r="H17" i="20"/>
  <c r="H25" i="20"/>
  <c r="T25" i="21"/>
  <c r="J25" i="20" s="1"/>
  <c r="T13" i="21"/>
  <c r="J13" i="20" s="1"/>
  <c r="H13" i="20"/>
  <c r="H23" i="20"/>
  <c r="T23" i="21"/>
  <c r="J23" i="20" s="1"/>
  <c r="H8" i="20"/>
  <c r="T8" i="21"/>
  <c r="J8" i="20" s="1"/>
  <c r="H20" i="20"/>
  <c r="T20" i="21"/>
  <c r="J20" i="20" s="1"/>
  <c r="H21" i="20"/>
  <c r="T21" i="21"/>
  <c r="J21" i="20" s="1"/>
  <c r="H3" i="20"/>
  <c r="T3" i="21"/>
  <c r="J3" i="20" s="1"/>
  <c r="H16" i="20"/>
  <c r="T16" i="21"/>
  <c r="J16" i="20" s="1"/>
  <c r="T11" i="21"/>
  <c r="J11" i="20" s="1"/>
  <c r="H11" i="20"/>
  <c r="H12" i="20"/>
  <c r="T12" i="21"/>
  <c r="J12" i="20" s="1"/>
  <c r="H19" i="20"/>
  <c r="T19" i="21"/>
  <c r="J19" i="20" s="1"/>
  <c r="H24" i="20"/>
  <c r="T24" i="21"/>
  <c r="J24" i="20" s="1"/>
  <c r="T9" i="21"/>
  <c r="J9" i="20" s="1"/>
  <c r="H9" i="20"/>
  <c r="T6" i="21"/>
  <c r="J6" i="20" s="1"/>
  <c r="H6" i="20"/>
  <c r="H22" i="20"/>
  <c r="T22" i="21"/>
  <c r="J22" i="20" s="1"/>
  <c r="T5" i="21"/>
  <c r="J5" i="20" s="1"/>
  <c r="H5" i="20"/>
  <c r="T15" i="21"/>
  <c r="J15" i="20" s="1"/>
  <c r="H15" i="20"/>
  <c r="T14" i="21"/>
  <c r="J14" i="20" s="1"/>
  <c r="H14" i="20"/>
  <c r="AK3" i="1"/>
  <c r="E6" i="1"/>
  <c r="E11" i="6"/>
  <c r="E4" i="6"/>
  <c r="E6" i="6"/>
  <c r="R4" i="1" l="1"/>
  <c r="R5" i="1"/>
  <c r="R2" i="1"/>
  <c r="R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Gregor</author>
  </authors>
  <commentList>
    <comment ref="A14" authorId="0" shapeId="0" xr:uid="{00000000-0006-0000-0300-000001000000}">
      <text>
        <r>
          <rPr>
            <b/>
            <sz val="9"/>
            <color indexed="8"/>
            <rFont val="Geneva"/>
            <family val="2"/>
          </rPr>
          <t xml:space="preserve">0 = Interface
</t>
        </r>
        <r>
          <rPr>
            <b/>
            <sz val="9"/>
            <color indexed="8"/>
            <rFont val="Geneva"/>
            <family val="2"/>
          </rPr>
          <t>1 = Intraslab</t>
        </r>
        <r>
          <rPr>
            <sz val="9"/>
            <color indexed="8"/>
            <rFont val="Geneva"/>
            <family val="2"/>
          </rPr>
          <t xml:space="preserve">
</t>
        </r>
      </text>
    </comment>
    <comment ref="A15" authorId="0" shapeId="0" xr:uid="{00000000-0006-0000-0300-000002000000}">
      <text>
        <r>
          <rPr>
            <b/>
            <sz val="9"/>
            <color indexed="81"/>
            <rFont val="Geneva"/>
            <family val="2"/>
          </rPr>
          <t>0 = Forearc or Unknown site
1 = Backarc site</t>
        </r>
      </text>
    </comment>
    <comment ref="A19" authorId="0" shapeId="0" xr:uid="{00000000-0006-0000-0300-000003000000}">
      <text>
        <r>
          <rPr>
            <sz val="9"/>
            <color indexed="8"/>
            <rFont val="Verdana"/>
            <family val="2"/>
          </rPr>
          <t>Reference C1 value of 7.8.</t>
        </r>
      </text>
    </comment>
    <comment ref="A20" authorId="0" shapeId="0" xr:uid="{00000000-0006-0000-0300-000004000000}">
      <text>
        <r>
          <rPr>
            <sz val="9"/>
            <color indexed="8"/>
            <rFont val="Verdana"/>
            <family val="2"/>
          </rPr>
          <t xml:space="preserve">Recommended values are -0.2, 0.0, and 0.2 with 0.0 being the base case. Period dependence is given in Column AT
</t>
        </r>
      </text>
    </comment>
    <comment ref="A22" authorId="0" shapeId="0" xr:uid="{00000000-0006-0000-0300-000005000000}">
      <text>
        <r>
          <rPr>
            <b/>
            <sz val="9"/>
            <color indexed="81"/>
            <rFont val="Geneva"/>
            <family val="2"/>
          </rPr>
          <t xml:space="preserve">Distance is Rupture Distance for Interface
Distance is HypoCentral Distance for Intraslab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Gregor</author>
  </authors>
  <commentList>
    <comment ref="A14" authorId="0" shapeId="0" xr:uid="{00000000-0006-0000-0900-000001000000}">
      <text>
        <r>
          <rPr>
            <b/>
            <sz val="9"/>
            <color indexed="81"/>
            <rFont val="Geneva"/>
            <family val="2"/>
          </rPr>
          <t>0 = Interface
1 = Intraslab</t>
        </r>
        <r>
          <rPr>
            <sz val="9"/>
            <color indexed="81"/>
            <rFont val="Geneva"/>
            <family val="2"/>
          </rPr>
          <t xml:space="preserve">
</t>
        </r>
      </text>
    </comment>
    <comment ref="A15" authorId="0" shapeId="0" xr:uid="{00000000-0006-0000-0900-000002000000}">
      <text>
        <r>
          <rPr>
            <b/>
            <sz val="9"/>
            <color indexed="81"/>
            <rFont val="Geneva"/>
            <family val="2"/>
          </rPr>
          <t>0 = Forearc or Unknown site
1 = Backarc site</t>
        </r>
      </text>
    </comment>
    <comment ref="A19" authorId="0" shapeId="0" xr:uid="{00000000-0006-0000-0900-000003000000}">
      <text>
        <r>
          <rPr>
            <sz val="9"/>
            <color indexed="81"/>
            <rFont val="Verdana"/>
            <family val="2"/>
          </rPr>
          <t>Reference C1 value of 7.8.</t>
        </r>
      </text>
    </comment>
    <comment ref="A20" authorId="0" shapeId="0" xr:uid="{00000000-0006-0000-0900-000004000000}">
      <text>
        <r>
          <rPr>
            <sz val="9"/>
            <color rgb="FF000000"/>
            <rFont val="Verdana"/>
            <family val="2"/>
          </rPr>
          <t xml:space="preserve">Recommended values are -0.2, 0.0, and 0.2 with 0.0 being the base case. Period dependence is given in Column AT
</t>
        </r>
      </text>
    </comment>
    <comment ref="A22" authorId="0" shapeId="0" xr:uid="{00000000-0006-0000-0900-000005000000}">
      <text>
        <r>
          <rPr>
            <b/>
            <sz val="9"/>
            <color indexed="81"/>
            <rFont val="Geneva"/>
            <family val="2"/>
          </rPr>
          <t xml:space="preserve">Distance is Rupture Distance for Interface
Distance is HypoCentral Distance for Intraslab 
</t>
        </r>
      </text>
    </comment>
  </commentList>
</comments>
</file>

<file path=xl/sharedStrings.xml><?xml version="1.0" encoding="utf-8"?>
<sst xmlns="http://schemas.openxmlformats.org/spreadsheetml/2006/main" count="213" uniqueCount="116">
  <si>
    <t>BC Hydro Subduction Model</t>
  </si>
  <si>
    <t>Input Parameters</t>
  </si>
  <si>
    <t>Value</t>
  </si>
  <si>
    <t>Magnitude</t>
  </si>
  <si>
    <t>Rupture Distance (km)</t>
  </si>
  <si>
    <t>Hypocentral Distance (km)</t>
  </si>
  <si>
    <t>Hypocentral Depth (km)</t>
  </si>
  <si>
    <t>Fevent</t>
  </si>
  <si>
    <t>Ffaba</t>
  </si>
  <si>
    <t>Vs (m/sec)</t>
  </si>
  <si>
    <t>Period (sec)</t>
  </si>
  <si>
    <t>Number of Sigma</t>
  </si>
  <si>
    <t>SA (g)</t>
  </si>
  <si>
    <t>Sigma</t>
  </si>
  <si>
    <t>vlin</t>
  </si>
  <si>
    <t>b</t>
  </si>
  <si>
    <t>n</t>
  </si>
  <si>
    <t>c</t>
  </si>
  <si>
    <t>c4</t>
  </si>
  <si>
    <t>theta(1)</t>
  </si>
  <si>
    <t>theta(2)</t>
  </si>
  <si>
    <t>theta(3)</t>
  </si>
  <si>
    <t>theta(4)</t>
  </si>
  <si>
    <t>theta(5)</t>
  </si>
  <si>
    <t>theta(6)</t>
  </si>
  <si>
    <t>theta(7)</t>
  </si>
  <si>
    <t>theta(8)</t>
  </si>
  <si>
    <t>theta(9)</t>
  </si>
  <si>
    <t>theta(10)</t>
  </si>
  <si>
    <t>theta(11)</t>
  </si>
  <si>
    <t>theta(12)</t>
  </si>
  <si>
    <t>theta(13)</t>
  </si>
  <si>
    <t>theta(14)</t>
  </si>
  <si>
    <t>theta(15)</t>
  </si>
  <si>
    <t>theta(16)</t>
  </si>
  <si>
    <t>phi</t>
  </si>
  <si>
    <t>tau</t>
  </si>
  <si>
    <t>sigma_total</t>
  </si>
  <si>
    <t>PGARock</t>
  </si>
  <si>
    <t>Median (g)</t>
  </si>
  <si>
    <t>Mag Scaling</t>
  </si>
  <si>
    <t>C1</t>
  </si>
  <si>
    <t>Depth Scaling</t>
  </si>
  <si>
    <t>Forearc/Backarc Scaling</t>
  </si>
  <si>
    <t>Base Model</t>
  </si>
  <si>
    <t>R</t>
  </si>
  <si>
    <t>Distance</t>
  </si>
  <si>
    <t>Site Response Scaling</t>
  </si>
  <si>
    <t>Vs*</t>
  </si>
  <si>
    <t>Vs=1000</t>
  </si>
  <si>
    <t>PGAVs1000 (g)</t>
  </si>
  <si>
    <t>Recommended</t>
  </si>
  <si>
    <t>SS Sigma</t>
  </si>
  <si>
    <t>Sigma Model [0=SS, 1=Regression]</t>
  </si>
  <si>
    <t>Adjust to Model based</t>
  </si>
  <si>
    <t xml:space="preserve">on Residuals with Tohoku </t>
  </si>
  <si>
    <t>and Chile data.</t>
  </si>
  <si>
    <t>Period Dependent C1 Changes</t>
  </si>
  <si>
    <t>Period</t>
  </si>
  <si>
    <t>PGA - 0.3sec</t>
  </si>
  <si>
    <t>C1 + DeltaC1+ DeltaC1'</t>
  </si>
  <si>
    <t>Delta C1 Adjustment</t>
  </si>
  <si>
    <t>DeltaC1 Adjustment</t>
  </si>
  <si>
    <t>DeltaC1'</t>
  </si>
  <si>
    <t>Epistemic DeltaC1</t>
  </si>
  <si>
    <t>Interface</t>
  </si>
  <si>
    <t>Intraslab Delta C1 Change</t>
  </si>
  <si>
    <t>All Periods</t>
  </si>
  <si>
    <t>Intraslab</t>
  </si>
  <si>
    <t>Version 9</t>
  </si>
  <si>
    <t>AI</t>
  </si>
  <si>
    <t>a45</t>
  </si>
  <si>
    <t>a6 slab</t>
  </si>
  <si>
    <t>Mag</t>
  </si>
  <si>
    <t>Rrup</t>
  </si>
  <si>
    <t>ZTOR</t>
  </si>
  <si>
    <t>VS30</t>
  </si>
  <si>
    <t>EventType</t>
  </si>
  <si>
    <t>SLAB C1</t>
  </si>
  <si>
    <t>INTERFACE C1</t>
  </si>
  <si>
    <t>BCHydro (2016)</t>
  </si>
  <si>
    <t>CAS - (const all regions)</t>
  </si>
  <si>
    <t>slab</t>
  </si>
  <si>
    <t>cas fact for PGA</t>
  </si>
  <si>
    <t>deltaC1(slab-intreface)</t>
  </si>
  <si>
    <t>tehta2</t>
  </si>
  <si>
    <t>a6</t>
  </si>
  <si>
    <t>a25</t>
  </si>
  <si>
    <t>a12prime</t>
  </si>
  <si>
    <t>a6prime</t>
  </si>
  <si>
    <t>a1</t>
  </si>
  <si>
    <t>adhusted a2</t>
  </si>
  <si>
    <t>interface</t>
  </si>
  <si>
    <t>CAS Global adjust coeff</t>
  </si>
  <si>
    <t>Cascadia - not adjusted</t>
  </si>
  <si>
    <t>Cascasdia Adjusted to Average Region</t>
  </si>
  <si>
    <t>Phi</t>
  </si>
  <si>
    <t>Tau</t>
  </si>
  <si>
    <t>Rrup (km)</t>
  </si>
  <si>
    <t>ZTOR (km)</t>
  </si>
  <si>
    <t>VS30 (m/s)</t>
  </si>
  <si>
    <t>Rhypo (km)</t>
  </si>
  <si>
    <t>HypoDepth (km)</t>
  </si>
  <si>
    <t>(for 2016 BCH model)</t>
  </si>
  <si>
    <t>Phi0</t>
  </si>
  <si>
    <t>Tau0</t>
  </si>
  <si>
    <t>Vlin</t>
  </si>
  <si>
    <t>PGA1000</t>
  </si>
  <si>
    <t>Cas Adjusted</t>
  </si>
  <si>
    <t>rho eps</t>
  </si>
  <si>
    <t>rho eta</t>
  </si>
  <si>
    <t>d ln(amp) / d ln(pga)</t>
  </si>
  <si>
    <t>phiamp</t>
  </si>
  <si>
    <t>phiB</t>
  </si>
  <si>
    <t>sigma</t>
  </si>
  <si>
    <t>CAS_model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</si>
</sst>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000000"/>
    <numFmt numFmtId="167" formatCode="0.00000"/>
    <numFmt numFmtId="168" formatCode="0.000E+00"/>
  </numFmts>
  <fonts count="13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9"/>
      <color indexed="81"/>
      <name val="Geneva"/>
      <family val="2"/>
    </font>
    <font>
      <b/>
      <sz val="9"/>
      <color indexed="81"/>
      <name val="Geneva"/>
      <family val="2"/>
    </font>
    <font>
      <sz val="8"/>
      <name val="Verdana"/>
      <family val="2"/>
    </font>
    <font>
      <sz val="9"/>
      <color indexed="81"/>
      <name val="Verdana"/>
      <family val="2"/>
    </font>
    <font>
      <b/>
      <sz val="10"/>
      <name val="Verdana"/>
      <family val="2"/>
    </font>
    <font>
      <b/>
      <sz val="9"/>
      <color indexed="8"/>
      <name val="Geneva"/>
      <family val="2"/>
    </font>
    <font>
      <sz val="9"/>
      <color indexed="8"/>
      <name val="Geneva"/>
      <family val="2"/>
    </font>
    <font>
      <sz val="9"/>
      <color indexed="8"/>
      <name val="Verdana"/>
      <family val="2"/>
    </font>
    <font>
      <sz val="10"/>
      <color rgb="FFFF0000"/>
      <name val="Verdana"/>
      <family val="2"/>
    </font>
    <font>
      <sz val="9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2" borderId="0" xfId="0" applyFill="1"/>
    <xf numFmtId="165" fontId="0" fillId="0" borderId="0" xfId="0" applyNumberFormat="1"/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Border="1" applyAlignment="1">
      <alignment horizontal="center"/>
    </xf>
    <xf numFmtId="167" fontId="0" fillId="0" borderId="0" xfId="0" applyNumberFormat="1"/>
    <xf numFmtId="0" fontId="0" fillId="0" borderId="0" xfId="0" applyAlignment="1">
      <alignment horizontal="left"/>
    </xf>
    <xf numFmtId="17" fontId="1" fillId="0" borderId="0" xfId="0" applyNumberFormat="1" applyFont="1" applyAlignment="1">
      <alignment horizontal="left"/>
    </xf>
    <xf numFmtId="2" fontId="2" fillId="0" borderId="0" xfId="0" applyNumberFormat="1" applyFont="1"/>
    <xf numFmtId="0" fontId="7" fillId="0" borderId="0" xfId="0" applyFont="1" applyAlignment="1">
      <alignment horizontal="left"/>
    </xf>
    <xf numFmtId="17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/>
    <xf numFmtId="165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64" fontId="0" fillId="3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0" xfId="0" applyNumberFormat="1" applyFill="1"/>
    <xf numFmtId="0" fontId="0" fillId="3" borderId="0" xfId="0" applyNumberFormat="1" applyFill="1" applyAlignment="1">
      <alignment horizontal="center"/>
    </xf>
    <xf numFmtId="166" fontId="2" fillId="0" borderId="0" xfId="0" applyNumberFormat="1" applyFont="1"/>
    <xf numFmtId="166" fontId="0" fillId="0" borderId="0" xfId="0" applyNumberFormat="1"/>
    <xf numFmtId="168" fontId="0" fillId="0" borderId="0" xfId="0" applyNumberFormat="1"/>
    <xf numFmtId="0" fontId="0" fillId="4" borderId="0" xfId="0" applyFill="1"/>
    <xf numFmtId="0" fontId="11" fillId="0" borderId="0" xfId="0" applyFont="1"/>
    <xf numFmtId="11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7" fontId="1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D715D-79F8-8D4A-A8EC-85F7A6A980D8}">
  <dimension ref="A2:L26"/>
  <sheetViews>
    <sheetView tabSelected="1" workbookViewId="0">
      <selection activeCell="F3" sqref="F3:F26"/>
    </sheetView>
  </sheetViews>
  <sheetFormatPr baseColWidth="10" defaultRowHeight="13" x14ac:dyDescent="0.15"/>
  <cols>
    <col min="5" max="5" width="14.83203125" customWidth="1"/>
    <col min="6" max="6" width="16.5" customWidth="1"/>
    <col min="7" max="7" width="14" customWidth="1"/>
  </cols>
  <sheetData>
    <row r="2" spans="1:12" s="39" customFormat="1" ht="39" x14ac:dyDescent="0.15">
      <c r="D2" s="39" t="str">
        <f>'CAS Adjust Terms'!F3</f>
        <v>Period (sec)</v>
      </c>
      <c r="E2" s="40" t="s">
        <v>80</v>
      </c>
      <c r="F2" s="40" t="s">
        <v>95</v>
      </c>
      <c r="G2" s="40" t="s">
        <v>94</v>
      </c>
      <c r="H2" s="40" t="s">
        <v>96</v>
      </c>
      <c r="I2" s="40" t="s">
        <v>97</v>
      </c>
      <c r="J2" s="40" t="s">
        <v>13</v>
      </c>
    </row>
    <row r="3" spans="1:12" x14ac:dyDescent="0.15">
      <c r="D3">
        <f>'CAS Adjust Terms'!F4</f>
        <v>0.01</v>
      </c>
      <c r="E3" s="38">
        <f>'BCH2016'!E10</f>
        <v>2.6654611642091534E-2</v>
      </c>
      <c r="F3" s="38">
        <f>'CAS Adjust Terms'!$E4*$G3</f>
        <v>6.4533606602325327E-3</v>
      </c>
      <c r="G3" s="38">
        <f>CAS!E10</f>
        <v>2.801930970147895E-3</v>
      </c>
      <c r="H3" s="5">
        <f>Phi_tau!R3</f>
        <v>0.60741284595436196</v>
      </c>
      <c r="I3" s="5">
        <f>Phi_tau!S3</f>
        <v>0.57675307387719688</v>
      </c>
      <c r="J3" s="5">
        <f>Phi_tau!T3</f>
        <v>0.83761236479482126</v>
      </c>
    </row>
    <row r="4" spans="1:12" x14ac:dyDescent="0.15">
      <c r="A4" s="22" t="s">
        <v>77</v>
      </c>
      <c r="B4">
        <v>1</v>
      </c>
      <c r="D4">
        <f>'CAS Adjust Terms'!F5</f>
        <v>0.02</v>
      </c>
      <c r="E4" s="38">
        <f>'BCH2016'!E11</f>
        <v>2.6654611642091534E-2</v>
      </c>
      <c r="F4" s="38">
        <f>'CAS Adjust Terms'!$E5*$G4</f>
        <v>7.3215008562570573E-3</v>
      </c>
      <c r="G4" s="38">
        <f>CAS!E11</f>
        <v>3.3170682300916175E-3</v>
      </c>
      <c r="H4" s="5">
        <f>Phi_tau!R4</f>
        <v>0.60734090993466949</v>
      </c>
      <c r="I4" s="5">
        <f>Phi_tau!S4</f>
        <v>0.57666272938980012</v>
      </c>
      <c r="J4" s="5">
        <f>Phi_tau!T4</f>
        <v>0.83749799065285291</v>
      </c>
    </row>
    <row r="5" spans="1:12" x14ac:dyDescent="0.15">
      <c r="A5" s="22" t="s">
        <v>73</v>
      </c>
      <c r="B5">
        <v>7.2</v>
      </c>
      <c r="D5">
        <f>'CAS Adjust Terms'!F6</f>
        <v>0.03</v>
      </c>
      <c r="E5" s="38"/>
      <c r="F5" s="38">
        <f>'CAS Adjust Terms'!$E6*$G5</f>
        <v>8.4224197476879276E-3</v>
      </c>
      <c r="G5" s="38">
        <f>CAS!E12</f>
        <v>4.1584269299889086E-3</v>
      </c>
      <c r="H5" s="5">
        <f>Phi_tau!R5</f>
        <v>0.60703409319840484</v>
      </c>
      <c r="I5" s="5">
        <f>Phi_tau!S5</f>
        <v>0.57627735928094947</v>
      </c>
      <c r="J5" s="5">
        <f>Phi_tau!T5</f>
        <v>0.83701014636922666</v>
      </c>
      <c r="L5" s="4"/>
    </row>
    <row r="6" spans="1:12" x14ac:dyDescent="0.15">
      <c r="A6" s="22"/>
      <c r="D6">
        <f>'CAS Adjust Terms'!F7</f>
        <v>0.05</v>
      </c>
      <c r="E6" s="38">
        <f>'BCH2016'!E12</f>
        <v>3.1968799988034362E-2</v>
      </c>
      <c r="F6" s="38">
        <f>'CAS Adjust Terms'!$E7*$G6</f>
        <v>1.0036265904812186E-2</v>
      </c>
      <c r="G6" s="38">
        <f>CAS!E13</f>
        <v>3.7817799845639775E-3</v>
      </c>
      <c r="H6" s="5">
        <f>Phi_tau!R6</f>
        <v>0.60615052702296246</v>
      </c>
      <c r="I6" s="5">
        <f>Phi_tau!S6</f>
        <v>0.57516722417204347</v>
      </c>
      <c r="J6" s="5">
        <f>Phi_tau!T6</f>
        <v>0.83560504855582873</v>
      </c>
    </row>
    <row r="7" spans="1:12" x14ac:dyDescent="0.15">
      <c r="A7" s="22" t="s">
        <v>98</v>
      </c>
      <c r="B7" s="1">
        <v>300</v>
      </c>
      <c r="D7">
        <f>'CAS Adjust Terms'!F8</f>
        <v>7.4999999999999997E-2</v>
      </c>
      <c r="E7" s="38">
        <f>'BCH2016'!E13</f>
        <v>3.8348502586813792E-2</v>
      </c>
      <c r="F7" s="38">
        <f>'CAS Adjust Terms'!$E8*$G7</f>
        <v>1.1511918425594759E-2</v>
      </c>
      <c r="G7" s="38">
        <f>CAS!E14</f>
        <v>4.2689210521553037E-3</v>
      </c>
      <c r="H7" s="5">
        <f>Phi_tau!R7</f>
        <v>0.60570044879125418</v>
      </c>
      <c r="I7" s="5">
        <f>Phi_tau!S7</f>
        <v>0.57460153271105607</v>
      </c>
      <c r="J7" s="5">
        <f>Phi_tau!T7</f>
        <v>0.83488918729363215</v>
      </c>
    </row>
    <row r="8" spans="1:12" x14ac:dyDescent="0.15">
      <c r="A8" s="22" t="s">
        <v>99</v>
      </c>
      <c r="B8">
        <v>50</v>
      </c>
      <c r="D8">
        <f>'CAS Adjust Terms'!F9</f>
        <v>0.1</v>
      </c>
      <c r="E8" s="38">
        <f>'BCH2016'!E14</f>
        <v>4.81356188722512E-2</v>
      </c>
      <c r="F8" s="38">
        <f>'CAS Adjust Terms'!$E9*$G8</f>
        <v>1.2561611593481205E-2</v>
      </c>
      <c r="G8" s="38">
        <f>CAS!E15</f>
        <v>4.6292378209786891E-3</v>
      </c>
      <c r="H8" s="5">
        <f>Phi_tau!R8</f>
        <v>0.60569764742339705</v>
      </c>
      <c r="I8" s="5">
        <f>Phi_tau!S8</f>
        <v>0.57459801131815791</v>
      </c>
      <c r="J8" s="5">
        <f>Phi_tau!T8</f>
        <v>0.8348847313881238</v>
      </c>
    </row>
    <row r="9" spans="1:12" x14ac:dyDescent="0.15">
      <c r="A9" s="22" t="s">
        <v>100</v>
      </c>
      <c r="B9">
        <v>270</v>
      </c>
      <c r="D9">
        <f>'CAS Adjust Terms'!F10</f>
        <v>0.15</v>
      </c>
      <c r="E9" s="38">
        <f>'BCH2016'!E15</f>
        <v>5.2406921318560493E-2</v>
      </c>
      <c r="F9" s="38">
        <f>'CAS Adjust Terms'!$E10*$G9</f>
        <v>1.3121804346895994E-2</v>
      </c>
      <c r="G9" s="38">
        <f>CAS!E16</f>
        <v>5.2349806690995442E-3</v>
      </c>
      <c r="H9" s="5">
        <f>Phi_tau!R9</f>
        <v>0.60614521178806646</v>
      </c>
      <c r="I9" s="5">
        <f>Phi_tau!S9</f>
        <v>0.55515894045637237</v>
      </c>
      <c r="J9" s="5">
        <f>Phi_tau!T9</f>
        <v>0.82195709556049334</v>
      </c>
      <c r="L9" s="38"/>
    </row>
    <row r="10" spans="1:12" x14ac:dyDescent="0.15">
      <c r="D10">
        <f>'CAS Adjust Terms'!F11</f>
        <v>0.2</v>
      </c>
      <c r="E10" s="38">
        <f>'BCH2016'!E16</f>
        <v>5.7612340865625153E-2</v>
      </c>
      <c r="F10" s="38">
        <f>'CAS Adjust Terms'!$E11*$G10</f>
        <v>1.3907580755280395E-2</v>
      </c>
      <c r="G10" s="38">
        <f>CAS!E17</f>
        <v>5.7769231853543948E-3</v>
      </c>
      <c r="H10" s="5">
        <f>Phi_tau!R10</f>
        <v>0.6067087380625984</v>
      </c>
      <c r="I10" s="5">
        <f>Phi_tau!S10</f>
        <v>0.53586619568889227</v>
      </c>
      <c r="J10" s="5">
        <f>Phi_tau!T10</f>
        <v>0.80947394802031569</v>
      </c>
    </row>
    <row r="11" spans="1:12" x14ac:dyDescent="0.15">
      <c r="A11" s="22" t="s">
        <v>101</v>
      </c>
      <c r="B11">
        <v>300</v>
      </c>
      <c r="D11">
        <f>'CAS Adjust Terms'!F12</f>
        <v>0.25</v>
      </c>
      <c r="E11" s="38">
        <f>'BCH2016'!E17</f>
        <v>5.2576522232745448E-2</v>
      </c>
      <c r="F11" s="38">
        <f>'CAS Adjust Terms'!$E12*$G11</f>
        <v>1.4235666077748793E-2</v>
      </c>
      <c r="G11" s="38">
        <f>CAS!E18</f>
        <v>6.3180420972728229E-3</v>
      </c>
      <c r="H11" s="5">
        <f>Phi_tau!R11</f>
        <v>0.60722343790283995</v>
      </c>
      <c r="I11" s="5">
        <f>Phi_tau!S11</f>
        <v>0.51651248140065642</v>
      </c>
      <c r="J11" s="5">
        <f>Phi_tau!T11</f>
        <v>0.79718595508275703</v>
      </c>
    </row>
    <row r="12" spans="1:12" x14ac:dyDescent="0.15">
      <c r="A12" s="22" t="s">
        <v>102</v>
      </c>
      <c r="B12">
        <v>60</v>
      </c>
      <c r="D12">
        <f>'CAS Adjust Terms'!F13</f>
        <v>0.3</v>
      </c>
      <c r="E12" s="38">
        <f>'BCH2016'!E18</f>
        <v>5.0723733054269797E-2</v>
      </c>
      <c r="F12" s="38">
        <f>'CAS Adjust Terms'!$E13*$G12</f>
        <v>1.4286961256288321E-2</v>
      </c>
      <c r="G12" s="38">
        <f>CAS!E19</f>
        <v>6.780049870689993E-3</v>
      </c>
      <c r="H12" s="5">
        <f>Phi_tau!R12</f>
        <v>0.6076477847631917</v>
      </c>
      <c r="I12" s="5">
        <f>Phi_tau!S12</f>
        <v>0.50204560307916068</v>
      </c>
      <c r="J12" s="5">
        <f>Phi_tau!T12</f>
        <v>0.78821673282082272</v>
      </c>
    </row>
    <row r="13" spans="1:12" x14ac:dyDescent="0.15">
      <c r="A13" s="22" t="s">
        <v>103</v>
      </c>
      <c r="D13">
        <f>'CAS Adjust Terms'!F14</f>
        <v>0.4</v>
      </c>
      <c r="E13" s="38">
        <f>'BCH2016'!E19</f>
        <v>4.3626626267453582E-2</v>
      </c>
      <c r="F13" s="38">
        <f>'CAS Adjust Terms'!$E14*$G13</f>
        <v>1.4133055483255365E-2</v>
      </c>
      <c r="G13" s="38">
        <f>CAS!E20</f>
        <v>7.5992724020202971E-3</v>
      </c>
      <c r="H13" s="5">
        <f>Phi_tau!R13</f>
        <v>0.60825500464811033</v>
      </c>
      <c r="I13" s="5">
        <f>Phi_tau!S13</f>
        <v>0.47780854840665066</v>
      </c>
      <c r="J13" s="5">
        <f>Phi_tau!T13</f>
        <v>0.77348248823741539</v>
      </c>
    </row>
    <row r="14" spans="1:12" x14ac:dyDescent="0.15">
      <c r="D14">
        <f>'CAS Adjust Terms'!F15</f>
        <v>0.5</v>
      </c>
      <c r="E14" s="38">
        <f>'BCH2016'!E20</f>
        <v>3.3923656038637812E-2</v>
      </c>
      <c r="F14" s="38">
        <f>'CAS Adjust Terms'!$E15*$G14</f>
        <v>1.4003646975975717E-2</v>
      </c>
      <c r="G14" s="38">
        <f>CAS!E21</f>
        <v>8.1205571092248761E-3</v>
      </c>
      <c r="H14" s="5">
        <f>Phi_tau!R14</f>
        <v>0.60866963747827507</v>
      </c>
      <c r="I14" s="5">
        <f>Phi_tau!S14</f>
        <v>0.45832947983633127</v>
      </c>
      <c r="J14" s="5">
        <f>Phi_tau!T14</f>
        <v>0.7619348001469527</v>
      </c>
    </row>
    <row r="15" spans="1:12" x14ac:dyDescent="0.15">
      <c r="C15" s="38"/>
      <c r="D15">
        <f>'CAS Adjust Terms'!F16</f>
        <v>0.6</v>
      </c>
      <c r="E15" s="38">
        <f>'BCH2016'!E21</f>
        <v>2.8834792902567359E-2</v>
      </c>
      <c r="F15" s="38">
        <f>'CAS Adjust Terms'!$E16*$G15</f>
        <v>1.3117667292860544E-2</v>
      </c>
      <c r="G15" s="38">
        <f>CAS!E22</f>
        <v>8.3167762737292195E-3</v>
      </c>
      <c r="H15" s="5">
        <f>Phi_tau!R15</f>
        <v>0.60896661019906095</v>
      </c>
      <c r="I15" s="5">
        <f>Phi_tau!S15</f>
        <v>0.44870257788387474</v>
      </c>
      <c r="J15" s="5">
        <f>Phi_tau!T15</f>
        <v>0.75642206190523675</v>
      </c>
    </row>
    <row r="16" spans="1:12" x14ac:dyDescent="0.15">
      <c r="D16">
        <f>'CAS Adjust Terms'!F17</f>
        <v>0.75</v>
      </c>
      <c r="E16" s="38">
        <f>'BCH2016'!E22</f>
        <v>2.2153154695102376E-2</v>
      </c>
      <c r="F16" s="38">
        <f>'CAS Adjust Terms'!$E17*$G16</f>
        <v>1.1726204514298356E-2</v>
      </c>
      <c r="G16" s="38">
        <f>CAS!E23</f>
        <v>8.4656340671283147E-3</v>
      </c>
      <c r="H16" s="5">
        <f>Phi_tau!R16</f>
        <v>0.60922581160693678</v>
      </c>
      <c r="I16" s="5">
        <f>Phi_tau!S16</f>
        <v>0.44902821183591068</v>
      </c>
      <c r="J16" s="5">
        <f>Phi_tau!T16</f>
        <v>0.75682390590723703</v>
      </c>
    </row>
    <row r="17" spans="4:10" x14ac:dyDescent="0.15">
      <c r="D17">
        <f>'CAS Adjust Terms'!F18</f>
        <v>1</v>
      </c>
      <c r="E17" s="38">
        <f>'BCH2016'!E23</f>
        <v>1.643575485971412E-2</v>
      </c>
      <c r="F17" s="38">
        <f>'CAS Adjust Terms'!$E18*$G17</f>
        <v>9.7158022146860267E-3</v>
      </c>
      <c r="G17" s="38">
        <f>CAS!E24</f>
        <v>7.7342768390019677E-3</v>
      </c>
      <c r="H17" s="5">
        <f>Phi_tau!R17</f>
        <v>0.60948065580590749</v>
      </c>
      <c r="I17" s="5">
        <f>Phi_tau!S17</f>
        <v>0.44934823889516595</v>
      </c>
      <c r="J17" s="5">
        <f>Phi_tau!T17</f>
        <v>0.75721893108914429</v>
      </c>
    </row>
    <row r="18" spans="4:10" x14ac:dyDescent="0.15">
      <c r="D18">
        <f>'CAS Adjust Terms'!F19</f>
        <v>1.5</v>
      </c>
      <c r="E18" s="38">
        <f>'BCH2016'!E24</f>
        <v>1.0032574806034828E-2</v>
      </c>
      <c r="F18" s="38">
        <f>'CAS Adjust Terms'!$E19*$G18</f>
        <v>6.8354948476578642E-3</v>
      </c>
      <c r="G18" s="38">
        <f>CAS!E25</f>
        <v>6.9116071915500728E-3</v>
      </c>
      <c r="H18" s="5">
        <f>Phi_tau!R18</f>
        <v>0.60977384076245189</v>
      </c>
      <c r="I18" s="5">
        <f>Phi_tau!S18</f>
        <v>0.44971626079108901</v>
      </c>
      <c r="J18" s="5">
        <f>Phi_tau!T18</f>
        <v>0.75767331489112821</v>
      </c>
    </row>
    <row r="19" spans="4:10" x14ac:dyDescent="0.15">
      <c r="D19">
        <f>'CAS Adjust Terms'!F20</f>
        <v>2</v>
      </c>
      <c r="E19" s="38">
        <f>'BCH2016'!E25</f>
        <v>6.9923375239917054E-3</v>
      </c>
      <c r="F19" s="38">
        <f>'CAS Adjust Terms'!$E20*$G19</f>
        <v>5.2861595406084854E-3</v>
      </c>
      <c r="G19" s="38">
        <f>CAS!E26</f>
        <v>5.7553047657041339E-3</v>
      </c>
      <c r="H19" s="5">
        <f>Phi_tau!R19</f>
        <v>0.60994355521674426</v>
      </c>
      <c r="I19" s="5">
        <f>Phi_tau!S19</f>
        <v>0.44992920140794901</v>
      </c>
      <c r="J19" s="5">
        <f>Phi_tau!T19</f>
        <v>0.75793629470426882</v>
      </c>
    </row>
    <row r="20" spans="4:10" x14ac:dyDescent="0.15">
      <c r="D20">
        <f>'CAS Adjust Terms'!F21</f>
        <v>2.5</v>
      </c>
      <c r="E20" s="38">
        <f>'BCH2016'!E26</f>
        <v>5.3123697146251862E-3</v>
      </c>
      <c r="F20" s="38">
        <f>'CAS Adjust Terms'!$E21*$G20</f>
        <v>4.1337675632333289E-3</v>
      </c>
      <c r="G20" s="38">
        <f>CAS!E27</f>
        <v>4.3458479747042105E-3</v>
      </c>
      <c r="H20" s="5">
        <f>Phi_tau!R20</f>
        <v>0.61</v>
      </c>
      <c r="I20" s="5">
        <f>Phi_tau!S20</f>
        <v>0.45</v>
      </c>
      <c r="J20" s="5">
        <f>Phi_tau!T20</f>
        <v>0.75802374632988911</v>
      </c>
    </row>
    <row r="21" spans="4:10" x14ac:dyDescent="0.15">
      <c r="D21">
        <f>'CAS Adjust Terms'!F22</f>
        <v>3</v>
      </c>
      <c r="E21" s="38">
        <f>'BCH2016'!E27</f>
        <v>4.0615529613531199E-3</v>
      </c>
      <c r="F21" s="38">
        <f>'CAS Adjust Terms'!$E22*$G21</f>
        <v>3.4294172885157683E-3</v>
      </c>
      <c r="G21" s="38">
        <f>CAS!E28</f>
        <v>3.4815364095371693E-3</v>
      </c>
      <c r="H21" s="5">
        <f>Phi_tau!R21</f>
        <v>0.61</v>
      </c>
      <c r="I21" s="5">
        <f>Phi_tau!S21</f>
        <v>0.45</v>
      </c>
      <c r="J21" s="5">
        <f>Phi_tau!T21</f>
        <v>0.75802374632988911</v>
      </c>
    </row>
    <row r="22" spans="4:10" x14ac:dyDescent="0.15">
      <c r="D22">
        <f>'CAS Adjust Terms'!F23</f>
        <v>4</v>
      </c>
      <c r="E22" s="38">
        <f>'BCH2016'!E28</f>
        <v>2.8372988496209758E-3</v>
      </c>
      <c r="F22" s="38">
        <f>'CAS Adjust Terms'!$E23*$G22</f>
        <v>2.5384710085603287E-3</v>
      </c>
      <c r="G22" s="38">
        <f>CAS!E29</f>
        <v>2.3849311785648125E-3</v>
      </c>
      <c r="H22" s="5">
        <f>Phi_tau!R22</f>
        <v>0.61</v>
      </c>
      <c r="I22" s="5">
        <f>Phi_tau!S22</f>
        <v>0.45</v>
      </c>
      <c r="J22" s="5">
        <f>Phi_tau!T22</f>
        <v>0.75802374632988911</v>
      </c>
    </row>
    <row r="23" spans="4:10" x14ac:dyDescent="0.15">
      <c r="D23">
        <f>'CAS Adjust Terms'!F24</f>
        <v>5</v>
      </c>
      <c r="E23" s="38">
        <f>'BCH2016'!E29</f>
        <v>2.0088013497438053E-3</v>
      </c>
      <c r="F23" s="38">
        <f>'CAS Adjust Terms'!$E24*$G23</f>
        <v>1.9594118656180385E-3</v>
      </c>
      <c r="G23" s="38">
        <f>CAS!E30</f>
        <v>1.8390657405733147E-3</v>
      </c>
      <c r="H23" s="5">
        <f>Phi_tau!R23</f>
        <v>0.61</v>
      </c>
      <c r="I23" s="5">
        <f>Phi_tau!S23</f>
        <v>0.45</v>
      </c>
      <c r="J23" s="5">
        <f>Phi_tau!T23</f>
        <v>0.75802374632988911</v>
      </c>
    </row>
    <row r="24" spans="4:10" x14ac:dyDescent="0.15">
      <c r="D24">
        <f>'CAS Adjust Terms'!F25</f>
        <v>6</v>
      </c>
      <c r="E24" s="38">
        <f>'BCH2016'!E30</f>
        <v>1.4880952609952521E-3</v>
      </c>
      <c r="F24" s="38">
        <f>'CAS Adjust Terms'!$E25*$G24</f>
        <v>1.504276565275951E-3</v>
      </c>
      <c r="G24" s="38">
        <f>CAS!E31</f>
        <v>1.3657477694801992E-3</v>
      </c>
      <c r="H24" s="5">
        <f>Phi_tau!R24</f>
        <v>0.61</v>
      </c>
      <c r="I24" s="5">
        <f>Phi_tau!S24</f>
        <v>0.45</v>
      </c>
      <c r="J24" s="5">
        <f>Phi_tau!T24</f>
        <v>0.75802374632988911</v>
      </c>
    </row>
    <row r="25" spans="4:10" x14ac:dyDescent="0.15">
      <c r="D25">
        <f>'CAS Adjust Terms'!F26</f>
        <v>7.5</v>
      </c>
      <c r="E25" s="38">
        <f>'BCH2016'!E31</f>
        <v>9.9204319054840904E-4</v>
      </c>
      <c r="F25" s="38">
        <f>'CAS Adjust Terms'!$E26*$G25</f>
        <v>1.0674102979130057E-3</v>
      </c>
      <c r="G25" s="38">
        <f>CAS!E32</f>
        <v>9.4125652514400306E-4</v>
      </c>
      <c r="H25" s="5">
        <f>Phi_tau!R25</f>
        <v>0.61</v>
      </c>
      <c r="I25" s="5">
        <f>Phi_tau!S25</f>
        <v>0.45</v>
      </c>
      <c r="J25" s="5">
        <f>Phi_tau!T25</f>
        <v>0.75802374632988911</v>
      </c>
    </row>
    <row r="26" spans="4:10" x14ac:dyDescent="0.15">
      <c r="D26">
        <f>'CAS Adjust Terms'!F27</f>
        <v>10</v>
      </c>
      <c r="E26" s="38">
        <f>'BCH2016'!E32</f>
        <v>6.9485880673830151E-4</v>
      </c>
      <c r="F26" s="38">
        <f>'CAS Adjust Terms'!$E27*$G26</f>
        <v>6.8458527267525047E-4</v>
      </c>
      <c r="G26" s="38">
        <f>CAS!E33</f>
        <v>5.3871403360803143E-4</v>
      </c>
      <c r="H26" s="5">
        <f>Phi_tau!R26</f>
        <v>0.61</v>
      </c>
      <c r="I26" s="5">
        <f>Phi_tau!S26</f>
        <v>0.45</v>
      </c>
      <c r="J26" s="5">
        <f>Phi_tau!T26</f>
        <v>0.75802374632988911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7"/>
  <sheetViews>
    <sheetView zoomScale="125" workbookViewId="0">
      <selection activeCell="E4" sqref="E4:E27"/>
    </sheetView>
  </sheetViews>
  <sheetFormatPr baseColWidth="10" defaultRowHeight="13" x14ac:dyDescent="0.15"/>
  <cols>
    <col min="7" max="9" width="10.83203125" style="8"/>
    <col min="15" max="15" width="10.83203125" style="8"/>
  </cols>
  <sheetData>
    <row r="2" spans="1:15" x14ac:dyDescent="0.15">
      <c r="C2" s="22" t="s">
        <v>93</v>
      </c>
    </row>
    <row r="3" spans="1:15" x14ac:dyDescent="0.15">
      <c r="C3" s="22" t="s">
        <v>92</v>
      </c>
      <c r="D3" s="22" t="s">
        <v>82</v>
      </c>
      <c r="E3" s="22"/>
      <c r="F3" t="str">
        <f>CAS!D9</f>
        <v>Period (sec)</v>
      </c>
      <c r="G3" s="33" t="s">
        <v>80</v>
      </c>
      <c r="H3" s="33" t="s">
        <v>81</v>
      </c>
      <c r="I3" s="23" t="s">
        <v>115</v>
      </c>
      <c r="O3" s="23"/>
    </row>
    <row r="4" spans="1:15" x14ac:dyDescent="0.15">
      <c r="A4" s="22" t="s">
        <v>77</v>
      </c>
      <c r="B4">
        <f>summary!B4</f>
        <v>1</v>
      </c>
      <c r="C4" s="4">
        <v>1.0439800700468573</v>
      </c>
      <c r="D4" s="4">
        <v>0.83429221602169701</v>
      </c>
      <c r="E4" s="4">
        <f>EXP(IF($B$4=1,$D4,$C4))</f>
        <v>2.3031833150021908</v>
      </c>
      <c r="F4">
        <f>CAS!D10</f>
        <v>0.01</v>
      </c>
      <c r="G4" s="34">
        <f>'BCH2016'!E10</f>
        <v>2.6654611642091534E-2</v>
      </c>
      <c r="H4" s="35">
        <f t="shared" ref="H4:H27" si="0">$I4*EXP(IF($B$4=1,$D4,$C4))</f>
        <v>6.4533606602325327E-3</v>
      </c>
      <c r="I4" s="35">
        <f>CAS!E10</f>
        <v>2.801930970147895E-3</v>
      </c>
    </row>
    <row r="5" spans="1:15" x14ac:dyDescent="0.15">
      <c r="A5" s="22" t="s">
        <v>73</v>
      </c>
      <c r="B5">
        <f>summary!B5</f>
        <v>7.2</v>
      </c>
      <c r="C5" s="4">
        <v>1.0460352342764969</v>
      </c>
      <c r="D5" s="4">
        <v>0.79173401239124974</v>
      </c>
      <c r="E5" s="4">
        <f t="shared" ref="E5:E27" si="1">EXP(IF($B$4=1,$D5,$C5))</f>
        <v>2.2072204574624736</v>
      </c>
      <c r="F5">
        <f>CAS!D11</f>
        <v>0.02</v>
      </c>
      <c r="G5" s="34">
        <f>'BCH2016'!E11</f>
        <v>2.6654611642091534E-2</v>
      </c>
      <c r="H5" s="35">
        <f t="shared" si="0"/>
        <v>7.3215008562570573E-3</v>
      </c>
      <c r="I5" s="35">
        <f>CAS!E11</f>
        <v>3.3170682300916175E-3</v>
      </c>
    </row>
    <row r="6" spans="1:15" x14ac:dyDescent="0.15">
      <c r="A6" s="22"/>
      <c r="B6">
        <f>summary!B6</f>
        <v>0</v>
      </c>
      <c r="C6" s="4">
        <v>1.2337742570997667</v>
      </c>
      <c r="D6" s="4">
        <v>0.70576030699886616</v>
      </c>
      <c r="E6" s="4">
        <f t="shared" si="1"/>
        <v>2.0253860148290239</v>
      </c>
      <c r="F6">
        <v>0.03</v>
      </c>
      <c r="G6" s="34"/>
      <c r="H6" s="35">
        <f t="shared" si="0"/>
        <v>8.4224197476879276E-3</v>
      </c>
      <c r="I6" s="35">
        <f>CAS!E12</f>
        <v>4.1584269299889086E-3</v>
      </c>
    </row>
    <row r="7" spans="1:15" x14ac:dyDescent="0.15">
      <c r="A7" s="22" t="s">
        <v>74</v>
      </c>
      <c r="B7">
        <f>summary!B7</f>
        <v>300</v>
      </c>
      <c r="C7" s="4">
        <v>1.3434229351414642</v>
      </c>
      <c r="D7" s="4">
        <v>0.97601032906969698</v>
      </c>
      <c r="E7" s="4">
        <f t="shared" si="1"/>
        <v>2.6538471158494228</v>
      </c>
      <c r="F7">
        <f>CAS!D13</f>
        <v>0.05</v>
      </c>
      <c r="G7" s="34">
        <f>'BCH2016'!E12</f>
        <v>3.1968799988034362E-2</v>
      </c>
      <c r="H7" s="35">
        <f t="shared" si="0"/>
        <v>1.0036265904812186E-2</v>
      </c>
      <c r="I7" s="35">
        <f>CAS!E13</f>
        <v>3.7817799845639775E-3</v>
      </c>
    </row>
    <row r="8" spans="1:15" x14ac:dyDescent="0.15">
      <c r="A8" s="22" t="s">
        <v>75</v>
      </c>
      <c r="B8">
        <f>summary!B8</f>
        <v>50</v>
      </c>
      <c r="C8" s="4">
        <v>1.3212313320397522</v>
      </c>
      <c r="D8" s="4">
        <v>0.99202176921030072</v>
      </c>
      <c r="E8" s="4">
        <f t="shared" si="1"/>
        <v>2.6966810313305261</v>
      </c>
      <c r="F8">
        <f>CAS!D14</f>
        <v>7.4999999999999997E-2</v>
      </c>
      <c r="G8" s="34">
        <f>'BCH2016'!E13</f>
        <v>3.8348502586813792E-2</v>
      </c>
      <c r="H8" s="35">
        <f t="shared" si="0"/>
        <v>1.1511918425594759E-2</v>
      </c>
      <c r="I8" s="35">
        <f>CAS!E14</f>
        <v>4.2689210521553037E-3</v>
      </c>
    </row>
    <row r="9" spans="1:15" x14ac:dyDescent="0.15">
      <c r="A9" s="22" t="s">
        <v>76</v>
      </c>
      <c r="B9">
        <f>summary!B9</f>
        <v>270</v>
      </c>
      <c r="C9" s="4">
        <v>1.3230741354770936</v>
      </c>
      <c r="D9" s="4">
        <v>0.99825322734373223</v>
      </c>
      <c r="E9" s="4">
        <f t="shared" si="1"/>
        <v>2.7135377527062317</v>
      </c>
      <c r="F9">
        <f>CAS!D15</f>
        <v>0.1</v>
      </c>
      <c r="G9" s="34">
        <f>'BCH2016'!E14</f>
        <v>4.81356188722512E-2</v>
      </c>
      <c r="H9" s="35">
        <f t="shared" si="0"/>
        <v>1.2561611593481205E-2</v>
      </c>
      <c r="I9" s="35">
        <f>CAS!E15</f>
        <v>4.6292378209786891E-3</v>
      </c>
    </row>
    <row r="10" spans="1:15" x14ac:dyDescent="0.15">
      <c r="C10" s="4">
        <v>1.2060473836136412</v>
      </c>
      <c r="D10" s="4">
        <v>0.91891214881124927</v>
      </c>
      <c r="E10" s="4">
        <f t="shared" si="1"/>
        <v>2.5065621396369058</v>
      </c>
      <c r="F10">
        <f>CAS!D16</f>
        <v>0.15</v>
      </c>
      <c r="G10" s="34">
        <f>'BCH2016'!E15</f>
        <v>5.2406921318560493E-2</v>
      </c>
      <c r="H10" s="35">
        <f t="shared" si="0"/>
        <v>1.3121804346895994E-2</v>
      </c>
      <c r="I10" s="35">
        <f>CAS!E16</f>
        <v>5.2349806690995442E-3</v>
      </c>
    </row>
    <row r="11" spans="1:15" x14ac:dyDescent="0.15">
      <c r="A11" s="22"/>
      <c r="C11" s="4">
        <v>1.1423289580897293</v>
      </c>
      <c r="D11" s="4">
        <v>0.87856284947151064</v>
      </c>
      <c r="E11" s="4">
        <f t="shared" si="1"/>
        <v>2.4074373691758222</v>
      </c>
      <c r="F11">
        <f>CAS!D17</f>
        <v>0.2</v>
      </c>
      <c r="G11" s="34">
        <f>'BCH2016'!E16</f>
        <v>5.7612340865625153E-2</v>
      </c>
      <c r="H11" s="35">
        <f t="shared" si="0"/>
        <v>1.3907580755280395E-2</v>
      </c>
      <c r="I11" s="35">
        <f>CAS!E17</f>
        <v>5.7769231853543948E-3</v>
      </c>
    </row>
    <row r="12" spans="1:15" x14ac:dyDescent="0.15">
      <c r="A12" s="22"/>
      <c r="C12" s="4">
        <v>1.0480829800078859</v>
      </c>
      <c r="D12" s="4">
        <v>0.81234114576058569</v>
      </c>
      <c r="E12" s="4">
        <f t="shared" si="1"/>
        <v>2.2531768320906891</v>
      </c>
      <c r="F12">
        <f>CAS!D18</f>
        <v>0.25</v>
      </c>
      <c r="G12" s="34">
        <f>'BCH2016'!E17</f>
        <v>5.2576522232745448E-2</v>
      </c>
      <c r="H12" s="35">
        <f t="shared" si="0"/>
        <v>1.4235666077748793E-2</v>
      </c>
      <c r="I12" s="35">
        <f>CAS!E18</f>
        <v>6.3180420972728229E-3</v>
      </c>
    </row>
    <row r="13" spans="1:15" x14ac:dyDescent="0.15">
      <c r="C13" s="4">
        <v>0.94565364697989274</v>
      </c>
      <c r="D13" s="4">
        <v>0.74536286357934178</v>
      </c>
      <c r="E13" s="4">
        <f t="shared" si="1"/>
        <v>2.1072059245538211</v>
      </c>
      <c r="F13">
        <f>CAS!D19</f>
        <v>0.3</v>
      </c>
      <c r="G13" s="34">
        <f>'BCH2016'!E18</f>
        <v>5.0723733054269797E-2</v>
      </c>
      <c r="H13" s="35">
        <f t="shared" si="0"/>
        <v>1.4286961256288321E-2</v>
      </c>
      <c r="I13" s="35">
        <f>CAS!E19</f>
        <v>6.780049870689993E-3</v>
      </c>
    </row>
    <row r="14" spans="1:15" x14ac:dyDescent="0.15">
      <c r="C14" s="4">
        <v>0.79394049645375653</v>
      </c>
      <c r="D14" s="4">
        <v>0.62046390803995766</v>
      </c>
      <c r="E14" s="4">
        <f t="shared" si="1"/>
        <v>1.8597906135721671</v>
      </c>
      <c r="F14">
        <f>CAS!D20</f>
        <v>0.4</v>
      </c>
      <c r="G14" s="34">
        <f>'BCH2016'!E19</f>
        <v>4.3626626267453582E-2</v>
      </c>
      <c r="H14" s="35">
        <f t="shared" si="0"/>
        <v>1.4133055483255365E-2</v>
      </c>
      <c r="I14" s="35">
        <f>CAS!E20</f>
        <v>7.5992724020202971E-3</v>
      </c>
    </row>
    <row r="15" spans="1:15" x14ac:dyDescent="0.15">
      <c r="C15" s="4">
        <v>0.66202915411124386</v>
      </c>
      <c r="D15" s="4">
        <v>0.54491903264493724</v>
      </c>
      <c r="E15" s="4">
        <f t="shared" si="1"/>
        <v>1.7244687510500611</v>
      </c>
      <c r="F15">
        <f>CAS!D21</f>
        <v>0.5</v>
      </c>
      <c r="G15" s="34">
        <f>'BCH2016'!E20</f>
        <v>3.3923656038637812E-2</v>
      </c>
      <c r="H15" s="35">
        <f t="shared" si="0"/>
        <v>1.4003646975975717E-2</v>
      </c>
      <c r="I15" s="35">
        <f>CAS!E21</f>
        <v>8.1205571092248761E-3</v>
      </c>
    </row>
    <row r="16" spans="1:15" x14ac:dyDescent="0.15">
      <c r="C16" s="4">
        <v>0.536019607595138</v>
      </c>
      <c r="D16" s="4">
        <v>0.45568525725928577</v>
      </c>
      <c r="E16" s="4">
        <f t="shared" si="1"/>
        <v>1.5772538374389407</v>
      </c>
      <c r="F16">
        <f>CAS!D22</f>
        <v>0.6</v>
      </c>
      <c r="G16" s="34">
        <f>'BCH2016'!E21</f>
        <v>2.8834792902567359E-2</v>
      </c>
      <c r="H16" s="35">
        <f t="shared" si="0"/>
        <v>1.3117667292860544E-2</v>
      </c>
      <c r="I16" s="35">
        <f>CAS!E22</f>
        <v>8.3167762737292195E-3</v>
      </c>
    </row>
    <row r="17" spans="3:9" x14ac:dyDescent="0.15">
      <c r="C17" s="4">
        <v>0.35555118688640514</v>
      </c>
      <c r="D17" s="4">
        <v>0.3258111221433076</v>
      </c>
      <c r="E17" s="4">
        <f t="shared" si="1"/>
        <v>1.3851537192979666</v>
      </c>
      <c r="F17">
        <f>CAS!D23</f>
        <v>0.75</v>
      </c>
      <c r="G17" s="34">
        <f>'BCH2016'!E22</f>
        <v>2.2153154695102376E-2</v>
      </c>
      <c r="H17" s="35">
        <f t="shared" si="0"/>
        <v>1.1726204514298356E-2</v>
      </c>
      <c r="I17" s="35">
        <f>CAS!E23</f>
        <v>8.4656340671283147E-3</v>
      </c>
    </row>
    <row r="18" spans="3:9" x14ac:dyDescent="0.15">
      <c r="C18" s="4">
        <v>0.24282499999999974</v>
      </c>
      <c r="D18" s="4">
        <v>0.22809166666666683</v>
      </c>
      <c r="E18" s="4">
        <f t="shared" si="1"/>
        <v>1.2562004718646398</v>
      </c>
      <c r="F18">
        <f>CAS!D24</f>
        <v>1</v>
      </c>
      <c r="G18" s="34">
        <f>'BCH2016'!E23</f>
        <v>1.643575485971412E-2</v>
      </c>
      <c r="H18" s="35">
        <f t="shared" si="0"/>
        <v>9.7158022146860267E-3</v>
      </c>
      <c r="I18" s="35">
        <f>CAS!E24</f>
        <v>7.7342768390019677E-3</v>
      </c>
    </row>
    <row r="19" spans="3:9" x14ac:dyDescent="0.15">
      <c r="C19" s="4">
        <v>-7.6802499999999704E-2</v>
      </c>
      <c r="D19" s="4">
        <v>-1.1073333333332902E-2</v>
      </c>
      <c r="E19" s="4">
        <f t="shared" si="1"/>
        <v>0.98898775034766717</v>
      </c>
      <c r="F19">
        <f>CAS!D25</f>
        <v>1.5</v>
      </c>
      <c r="G19" s="34">
        <f>'BCH2016'!E24</f>
        <v>1.0032574806034828E-2</v>
      </c>
      <c r="H19" s="35">
        <f t="shared" si="0"/>
        <v>6.8354948476578642E-3</v>
      </c>
      <c r="I19" s="35">
        <f>CAS!E25</f>
        <v>6.9116071915500728E-3</v>
      </c>
    </row>
    <row r="20" spans="3:9" x14ac:dyDescent="0.15">
      <c r="C20" s="4">
        <v>-0.20847000000000007</v>
      </c>
      <c r="D20" s="4">
        <v>-8.5029999999999897E-2</v>
      </c>
      <c r="E20" s="4">
        <f t="shared" si="1"/>
        <v>0.91848472944625181</v>
      </c>
      <c r="F20">
        <f>CAS!D26</f>
        <v>2</v>
      </c>
      <c r="G20" s="34">
        <f>'BCH2016'!E25</f>
        <v>6.9923375239917054E-3</v>
      </c>
      <c r="H20" s="35">
        <f t="shared" si="0"/>
        <v>5.2861595406084854E-3</v>
      </c>
      <c r="I20" s="35">
        <f>CAS!E26</f>
        <v>5.7553047657041339E-3</v>
      </c>
    </row>
    <row r="21" spans="3:9" x14ac:dyDescent="0.15">
      <c r="C21" s="4">
        <v>-0.20955749999999965</v>
      </c>
      <c r="D21" s="4">
        <v>-5.0031666666666974E-2</v>
      </c>
      <c r="E21" s="4">
        <f t="shared" si="1"/>
        <v>0.95119930271253539</v>
      </c>
      <c r="F21">
        <f>CAS!D27</f>
        <v>2.5</v>
      </c>
      <c r="G21" s="34">
        <f>'BCH2016'!E26</f>
        <v>5.3123697146251862E-3</v>
      </c>
      <c r="H21" s="35">
        <f t="shared" si="0"/>
        <v>4.1337675632333289E-3</v>
      </c>
      <c r="I21" s="35">
        <f>CAS!E27</f>
        <v>4.3458479747042105E-3</v>
      </c>
    </row>
    <row r="22" spans="3:9" x14ac:dyDescent="0.15">
      <c r="C22" s="4">
        <v>-0.21660249999999936</v>
      </c>
      <c r="D22" s="4">
        <v>-1.5083333333334129E-2</v>
      </c>
      <c r="E22" s="4">
        <f t="shared" si="1"/>
        <v>0.98502985036186086</v>
      </c>
      <c r="F22">
        <f>CAS!D28</f>
        <v>3</v>
      </c>
      <c r="G22" s="34">
        <f>'BCH2016'!E27</f>
        <v>4.0615529613531199E-3</v>
      </c>
      <c r="H22" s="35">
        <f t="shared" si="0"/>
        <v>3.4294172885157683E-3</v>
      </c>
      <c r="I22" s="35">
        <f>CAS!E28</f>
        <v>3.4815364095371693E-3</v>
      </c>
    </row>
    <row r="23" spans="3:9" x14ac:dyDescent="0.15">
      <c r="C23" s="4">
        <v>-6.4060000000000603E-2</v>
      </c>
      <c r="D23" s="4">
        <v>6.2391666666666734E-2</v>
      </c>
      <c r="E23" s="4">
        <f t="shared" si="1"/>
        <v>1.0643791449310971</v>
      </c>
      <c r="F23">
        <f>CAS!D29</f>
        <v>4</v>
      </c>
      <c r="G23" s="34">
        <f>'BCH2016'!E28</f>
        <v>2.8372988496209758E-3</v>
      </c>
      <c r="H23" s="35">
        <f t="shared" si="0"/>
        <v>2.5384710085603287E-3</v>
      </c>
      <c r="I23" s="35">
        <f>CAS!E29</f>
        <v>2.3849311785648125E-3</v>
      </c>
    </row>
    <row r="24" spans="3:9" x14ac:dyDescent="0.15">
      <c r="C24" s="4">
        <v>6.4597500000000058E-2</v>
      </c>
      <c r="D24" s="4">
        <v>6.3386666666666938E-2</v>
      </c>
      <c r="E24" s="4">
        <f t="shared" si="1"/>
        <v>1.0654387292360776</v>
      </c>
      <c r="F24">
        <f>CAS!D30</f>
        <v>5</v>
      </c>
      <c r="G24" s="34">
        <f>'BCH2016'!E29</f>
        <v>2.0088013497438053E-3</v>
      </c>
      <c r="H24" s="35">
        <f t="shared" si="0"/>
        <v>1.9594118656180385E-3</v>
      </c>
      <c r="I24" s="35">
        <f>CAS!E30</f>
        <v>1.8390657405733147E-3</v>
      </c>
    </row>
    <row r="25" spans="3:9" x14ac:dyDescent="0.15">
      <c r="C25" s="4">
        <v>9.0140000000000539E-2</v>
      </c>
      <c r="D25" s="4">
        <v>9.6610000000000404E-2</v>
      </c>
      <c r="E25" s="4">
        <f t="shared" si="1"/>
        <v>1.1014307318608878</v>
      </c>
      <c r="F25">
        <f>CAS!D31</f>
        <v>6</v>
      </c>
      <c r="G25" s="34">
        <f>'BCH2016'!E30</f>
        <v>1.4880952609952521E-3</v>
      </c>
      <c r="H25" s="35">
        <f t="shared" si="0"/>
        <v>1.504276565275951E-3</v>
      </c>
      <c r="I25" s="35">
        <f>CAS!E31</f>
        <v>1.3657477694801992E-3</v>
      </c>
    </row>
    <row r="26" spans="3:9" x14ac:dyDescent="0.15">
      <c r="C26" s="4">
        <v>0.13793250000000012</v>
      </c>
      <c r="D26" s="4">
        <v>0.1257750000000003</v>
      </c>
      <c r="E26" s="4">
        <f t="shared" si="1"/>
        <v>1.1340269835045258</v>
      </c>
      <c r="F26">
        <f>CAS!D32</f>
        <v>7.5</v>
      </c>
      <c r="G26" s="34">
        <f>'BCH2016'!E31</f>
        <v>9.9204319054840904E-4</v>
      </c>
      <c r="H26" s="35">
        <f t="shared" si="0"/>
        <v>1.0674102979130057E-3</v>
      </c>
      <c r="I26" s="35">
        <f>CAS!E32</f>
        <v>9.4125652514400306E-4</v>
      </c>
    </row>
    <row r="27" spans="3:9" x14ac:dyDescent="0.15">
      <c r="C27" s="4">
        <v>0.31433999999999918</v>
      </c>
      <c r="D27" s="4">
        <v>0.23962833333333375</v>
      </c>
      <c r="E27" s="4">
        <f t="shared" si="1"/>
        <v>1.2707767571790325</v>
      </c>
      <c r="F27">
        <f>CAS!D33</f>
        <v>10</v>
      </c>
      <c r="G27" s="34">
        <f>'BCH2016'!E32</f>
        <v>6.9485880673830151E-4</v>
      </c>
      <c r="H27" s="35">
        <f t="shared" si="0"/>
        <v>6.8458527267525047E-4</v>
      </c>
      <c r="I27" s="35">
        <f>CAS!E33</f>
        <v>5.3871403360803143E-4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DEB97-8F57-6F4D-A8D7-86901F2F7C60}">
  <dimension ref="A1:T26"/>
  <sheetViews>
    <sheetView workbookViewId="0">
      <selection activeCell="P26" sqref="P26"/>
    </sheetView>
  </sheetViews>
  <sheetFormatPr baseColWidth="10" defaultRowHeight="13" x14ac:dyDescent="0.15"/>
  <sheetData>
    <row r="1" spans="1:20" x14ac:dyDescent="0.15">
      <c r="P1" s="22" t="s">
        <v>108</v>
      </c>
    </row>
    <row r="2" spans="1:20" x14ac:dyDescent="0.15">
      <c r="E2" t="s">
        <v>10</v>
      </c>
      <c r="F2" s="40" t="s">
        <v>104</v>
      </c>
      <c r="G2" s="40" t="s">
        <v>105</v>
      </c>
      <c r="H2" s="40" t="s">
        <v>112</v>
      </c>
      <c r="I2" s="40" t="s">
        <v>113</v>
      </c>
      <c r="J2" s="22" t="s">
        <v>106</v>
      </c>
      <c r="K2" s="22" t="s">
        <v>15</v>
      </c>
      <c r="L2" s="22" t="s">
        <v>16</v>
      </c>
      <c r="M2" s="22" t="s">
        <v>17</v>
      </c>
      <c r="N2" s="22" t="s">
        <v>109</v>
      </c>
      <c r="O2" s="22" t="s">
        <v>110</v>
      </c>
      <c r="P2" s="22" t="s">
        <v>107</v>
      </c>
      <c r="Q2" s="22" t="s">
        <v>111</v>
      </c>
      <c r="R2" s="22" t="s">
        <v>96</v>
      </c>
      <c r="S2" s="22" t="s">
        <v>97</v>
      </c>
      <c r="T2" s="22" t="s">
        <v>114</v>
      </c>
    </row>
    <row r="3" spans="1:20" x14ac:dyDescent="0.15">
      <c r="A3" s="22" t="s">
        <v>76</v>
      </c>
      <c r="B3">
        <f>summary!B9</f>
        <v>270</v>
      </c>
      <c r="E3">
        <v>0.01</v>
      </c>
      <c r="F3">
        <v>0.61</v>
      </c>
      <c r="G3">
        <v>0.57999999999999996</v>
      </c>
      <c r="H3">
        <v>0.3</v>
      </c>
      <c r="I3" s="5">
        <f>SQRT($F3^2-$H3^2)</f>
        <v>0.53113086899558004</v>
      </c>
      <c r="J3">
        <f>'model coef'!D3</f>
        <v>865.1</v>
      </c>
      <c r="K3">
        <f>'model coef'!E3</f>
        <v>-1.1859999999999999</v>
      </c>
      <c r="L3">
        <f>'model coef'!F3</f>
        <v>1.18</v>
      </c>
      <c r="M3">
        <f>'model coef'!G3</f>
        <v>1.88</v>
      </c>
      <c r="N3">
        <v>1</v>
      </c>
      <c r="O3">
        <v>1</v>
      </c>
      <c r="P3" s="22">
        <f>CAS!AH10</f>
        <v>3.0309325951756588E-3</v>
      </c>
      <c r="Q3">
        <f>IF($B$3&gt;=$J3,0,$K3*$P$3*(-1/($P$3+$M3)+1/($P$3+$M3*($B$3/$J3)^$L3)))</f>
        <v>-5.5981484875915772E-3</v>
      </c>
      <c r="R3" s="5">
        <f>SQRT($F3^2+$Q3^2*$I3^2+2*$Q3*$I3*$I$3*$N3)</f>
        <v>0.60741284595436196</v>
      </c>
      <c r="S3" s="5">
        <f>SQRT($G3^2+$Q3^2*$G3^2+2*$Q3*$G3*$G$3*$O3)</f>
        <v>0.57675307387719688</v>
      </c>
      <c r="T3" s="5">
        <f>SQRT(R3^2+S3^2)</f>
        <v>0.83761236479482126</v>
      </c>
    </row>
    <row r="4" spans="1:20" x14ac:dyDescent="0.15">
      <c r="E4">
        <v>0.02</v>
      </c>
      <c r="F4">
        <v>0.61</v>
      </c>
      <c r="G4">
        <v>0.57999999999999996</v>
      </c>
      <c r="H4">
        <v>0.3</v>
      </c>
      <c r="I4" s="5">
        <f t="shared" ref="I4:I26" si="0">SQRT($F4^2-$H4^2)</f>
        <v>0.53113086899558004</v>
      </c>
      <c r="J4">
        <f>'model coef'!D4</f>
        <v>865.1</v>
      </c>
      <c r="K4">
        <f>'model coef'!E4</f>
        <v>-1.2190000000000001</v>
      </c>
      <c r="L4">
        <f>'model coef'!F4</f>
        <v>1.18</v>
      </c>
      <c r="M4">
        <f>'model coef'!G4</f>
        <v>1.88</v>
      </c>
      <c r="N4">
        <v>1</v>
      </c>
      <c r="O4">
        <v>1</v>
      </c>
      <c r="Q4">
        <f t="shared" ref="Q4:Q26" si="1">IF($B$3&gt;=$J4,0,$K4*$P$3*(-1/($P$3+$M4)+1/($P$3+$M4*($B$3/$J4)^$L4)))</f>
        <v>-5.7539148451721195E-3</v>
      </c>
      <c r="R4" s="5">
        <f t="shared" ref="R4:R26" si="2">SQRT($F4^2+$Q4^2*$I4^2+2*$Q4*$I4*$I$3*$N4)</f>
        <v>0.60734090993466949</v>
      </c>
      <c r="S4" s="5">
        <f t="shared" ref="S4:S26" si="3">SQRT($G4^2+$Q4^2*$G4^2+2*$Q4*$G4*$G$3*$O4)</f>
        <v>0.57666272938980012</v>
      </c>
      <c r="T4" s="5">
        <f t="shared" ref="T4:T26" si="4">SQRT(R4^2+S4^2)</f>
        <v>0.83749799065285291</v>
      </c>
    </row>
    <row r="5" spans="1:20" x14ac:dyDescent="0.15">
      <c r="E5">
        <v>0.03</v>
      </c>
      <c r="F5">
        <v>0.61</v>
      </c>
      <c r="G5">
        <v>0.57999999999999996</v>
      </c>
      <c r="H5">
        <v>0.3</v>
      </c>
      <c r="I5" s="5">
        <f t="shared" si="0"/>
        <v>0.53113086899558004</v>
      </c>
      <c r="J5">
        <f>'model coef'!D5</f>
        <v>907.8</v>
      </c>
      <c r="K5">
        <f>'model coef'!E5</f>
        <v>-1.2729999999999999</v>
      </c>
      <c r="L5">
        <f>'model coef'!F5</f>
        <v>1.18</v>
      </c>
      <c r="M5">
        <f>'model coef'!G5</f>
        <v>1.88</v>
      </c>
      <c r="N5">
        <v>0.99099999999999999</v>
      </c>
      <c r="O5">
        <v>0.99099999999999999</v>
      </c>
      <c r="Q5">
        <f t="shared" si="1"/>
        <v>-6.477017519863475E-3</v>
      </c>
      <c r="R5" s="5">
        <f t="shared" si="2"/>
        <v>0.60703409319840484</v>
      </c>
      <c r="S5" s="5">
        <f t="shared" si="3"/>
        <v>0.57627735928094947</v>
      </c>
      <c r="T5" s="5">
        <f t="shared" si="4"/>
        <v>0.83701014636922666</v>
      </c>
    </row>
    <row r="6" spans="1:20" x14ac:dyDescent="0.15">
      <c r="E6">
        <v>0.05</v>
      </c>
      <c r="F6">
        <v>0.61</v>
      </c>
      <c r="G6">
        <v>0.57999999999999996</v>
      </c>
      <c r="H6">
        <v>0.3</v>
      </c>
      <c r="I6" s="5">
        <f t="shared" si="0"/>
        <v>0.53113086899558004</v>
      </c>
      <c r="J6">
        <f>'model coef'!D6</f>
        <v>1053.5</v>
      </c>
      <c r="K6">
        <f>'model coef'!E6</f>
        <v>-1.3460000000000001</v>
      </c>
      <c r="L6">
        <f>'model coef'!F6</f>
        <v>1.18</v>
      </c>
      <c r="M6">
        <f>'model coef'!G6</f>
        <v>1.88</v>
      </c>
      <c r="N6">
        <v>0.97299999999999998</v>
      </c>
      <c r="O6">
        <v>0.97299999999999998</v>
      </c>
      <c r="Q6">
        <f t="shared" si="1"/>
        <v>-8.5656143672778566E-3</v>
      </c>
      <c r="R6" s="5">
        <f t="shared" si="2"/>
        <v>0.60615052702296246</v>
      </c>
      <c r="S6" s="5">
        <f t="shared" si="3"/>
        <v>0.57516722417204347</v>
      </c>
      <c r="T6" s="5">
        <f t="shared" si="4"/>
        <v>0.83560504855582873</v>
      </c>
    </row>
    <row r="7" spans="1:20" x14ac:dyDescent="0.15">
      <c r="E7">
        <v>7.4999999999999997E-2</v>
      </c>
      <c r="F7">
        <v>0.61</v>
      </c>
      <c r="G7">
        <v>0.57999999999999996</v>
      </c>
      <c r="H7">
        <v>0.3</v>
      </c>
      <c r="I7" s="5">
        <f t="shared" si="0"/>
        <v>0.53113086899558004</v>
      </c>
      <c r="J7">
        <f>'model coef'!D7</f>
        <v>1085.7</v>
      </c>
      <c r="K7">
        <f>'model coef'!E7</f>
        <v>-1.4710000000000001</v>
      </c>
      <c r="L7">
        <f>'model coef'!F7</f>
        <v>1.18</v>
      </c>
      <c r="M7">
        <f>'model coef'!G7</f>
        <v>1.88</v>
      </c>
      <c r="N7">
        <v>0.95199999999999996</v>
      </c>
      <c r="O7">
        <v>0.95199999999999996</v>
      </c>
      <c r="Q7">
        <f t="shared" si="1"/>
        <v>-9.7817509323939802E-3</v>
      </c>
      <c r="R7" s="5">
        <f t="shared" si="2"/>
        <v>0.60570044879125418</v>
      </c>
      <c r="S7" s="5">
        <f t="shared" si="3"/>
        <v>0.57460153271105607</v>
      </c>
      <c r="T7" s="5">
        <f t="shared" si="4"/>
        <v>0.83488918729363215</v>
      </c>
    </row>
    <row r="8" spans="1:20" x14ac:dyDescent="0.15">
      <c r="E8">
        <v>0.1</v>
      </c>
      <c r="F8">
        <v>0.61</v>
      </c>
      <c r="G8">
        <v>0.57999999999999996</v>
      </c>
      <c r="H8">
        <v>0.3</v>
      </c>
      <c r="I8" s="5">
        <f t="shared" si="0"/>
        <v>0.53113086899558004</v>
      </c>
      <c r="J8">
        <f>'model coef'!D8</f>
        <v>1032.5</v>
      </c>
      <c r="K8">
        <f>'model coef'!E8</f>
        <v>-1.6240000000000001</v>
      </c>
      <c r="L8">
        <f>'model coef'!F8</f>
        <v>1.18</v>
      </c>
      <c r="M8">
        <f>'model coef'!G8</f>
        <v>1.88</v>
      </c>
      <c r="N8">
        <v>0.92900000000000005</v>
      </c>
      <c r="O8">
        <v>0.92900000000000005</v>
      </c>
      <c r="Q8">
        <f t="shared" si="1"/>
        <v>-1.0033080464966589E-2</v>
      </c>
      <c r="R8" s="5">
        <f t="shared" si="2"/>
        <v>0.60569764742339705</v>
      </c>
      <c r="S8" s="5">
        <f t="shared" si="3"/>
        <v>0.57459801131815791</v>
      </c>
      <c r="T8" s="5">
        <f t="shared" si="4"/>
        <v>0.8348847313881238</v>
      </c>
    </row>
    <row r="9" spans="1:20" x14ac:dyDescent="0.15">
      <c r="E9">
        <v>0.15</v>
      </c>
      <c r="F9">
        <v>0.61</v>
      </c>
      <c r="G9">
        <v>0.56000000000000005</v>
      </c>
      <c r="H9">
        <v>0.3</v>
      </c>
      <c r="I9" s="5">
        <f t="shared" si="0"/>
        <v>0.53113086899558004</v>
      </c>
      <c r="J9">
        <f>'model coef'!D9</f>
        <v>877.6</v>
      </c>
      <c r="K9">
        <f>'model coef'!E9</f>
        <v>-1.931</v>
      </c>
      <c r="L9">
        <f>'model coef'!F9</f>
        <v>1.18</v>
      </c>
      <c r="M9">
        <f>'model coef'!G9</f>
        <v>1.88</v>
      </c>
      <c r="N9">
        <v>0.89600000000000002</v>
      </c>
      <c r="O9">
        <v>0.89600000000000002</v>
      </c>
      <c r="Q9">
        <f t="shared" si="1"/>
        <v>-9.3220187038477419E-3</v>
      </c>
      <c r="R9" s="5">
        <f t="shared" si="2"/>
        <v>0.60614521178806646</v>
      </c>
      <c r="S9" s="5">
        <f t="shared" si="3"/>
        <v>0.55515894045637237</v>
      </c>
      <c r="T9" s="5">
        <f t="shared" si="4"/>
        <v>0.82195709556049334</v>
      </c>
    </row>
    <row r="10" spans="1:20" x14ac:dyDescent="0.15">
      <c r="E10">
        <v>0.2</v>
      </c>
      <c r="F10">
        <v>0.61</v>
      </c>
      <c r="G10">
        <v>0.54</v>
      </c>
      <c r="H10">
        <v>0.3</v>
      </c>
      <c r="I10" s="5">
        <f t="shared" si="0"/>
        <v>0.53113086899558004</v>
      </c>
      <c r="J10">
        <f>'model coef'!D10</f>
        <v>748.2</v>
      </c>
      <c r="K10">
        <f>'model coef'!E10</f>
        <v>-2.1880000000000002</v>
      </c>
      <c r="L10">
        <f>'model coef'!F10</f>
        <v>1.18</v>
      </c>
      <c r="M10">
        <f>'model coef'!G10</f>
        <v>1.88</v>
      </c>
      <c r="N10">
        <v>0.874</v>
      </c>
      <c r="O10">
        <v>0.874</v>
      </c>
      <c r="Q10">
        <f>IF($B$3&gt;=$J10,0,$K10*$P$3*(-1/($P$3+$M10)+1/($P$3+$M10*($B$3/$J10)^$L10)))</f>
        <v>-8.158990451445209E-3</v>
      </c>
      <c r="R10" s="5">
        <f t="shared" si="2"/>
        <v>0.6067087380625984</v>
      </c>
      <c r="S10" s="5">
        <f t="shared" si="3"/>
        <v>0.53586619568889227</v>
      </c>
      <c r="T10" s="5">
        <f t="shared" si="4"/>
        <v>0.80947394802031569</v>
      </c>
    </row>
    <row r="11" spans="1:20" x14ac:dyDescent="0.15">
      <c r="E11">
        <v>0.25</v>
      </c>
      <c r="F11">
        <v>0.61</v>
      </c>
      <c r="G11">
        <v>0.52</v>
      </c>
      <c r="H11">
        <v>0.3</v>
      </c>
      <c r="I11" s="5">
        <f t="shared" si="0"/>
        <v>0.53113086899558004</v>
      </c>
      <c r="J11">
        <f>'model coef'!D11</f>
        <v>654.29999999999995</v>
      </c>
      <c r="K11">
        <f>'model coef'!E11</f>
        <v>-2.3809999999999998</v>
      </c>
      <c r="L11">
        <f>'model coef'!F11</f>
        <v>1.18</v>
      </c>
      <c r="M11">
        <f>'model coef'!G11</f>
        <v>1.88</v>
      </c>
      <c r="N11">
        <v>0.85599999999999998</v>
      </c>
      <c r="O11">
        <v>0.85599999999999998</v>
      </c>
      <c r="Q11">
        <f t="shared" si="1"/>
        <v>-7.0267912495821875E-3</v>
      </c>
      <c r="R11" s="5">
        <f t="shared" si="2"/>
        <v>0.60722343790283995</v>
      </c>
      <c r="S11" s="5">
        <f t="shared" si="3"/>
        <v>0.51651248140065642</v>
      </c>
      <c r="T11" s="5">
        <f t="shared" si="4"/>
        <v>0.79718595508275703</v>
      </c>
    </row>
    <row r="12" spans="1:20" x14ac:dyDescent="0.15">
      <c r="E12">
        <v>0.3</v>
      </c>
      <c r="F12">
        <v>0.61</v>
      </c>
      <c r="G12">
        <v>0.505</v>
      </c>
      <c r="H12">
        <v>0.3</v>
      </c>
      <c r="I12" s="5">
        <f t="shared" si="0"/>
        <v>0.53113086899558004</v>
      </c>
      <c r="J12">
        <f>'model coef'!D12</f>
        <v>587.1</v>
      </c>
      <c r="K12">
        <f>'model coef'!E12</f>
        <v>-2.5179999999999998</v>
      </c>
      <c r="L12">
        <f>'model coef'!F12</f>
        <v>1.18</v>
      </c>
      <c r="M12">
        <f>'model coef'!G12</f>
        <v>1.88</v>
      </c>
      <c r="N12">
        <v>0.84099999999999997</v>
      </c>
      <c r="O12">
        <v>0.84099999999999997</v>
      </c>
      <c r="Q12">
        <f t="shared" si="1"/>
        <v>-6.0581036256399205E-3</v>
      </c>
      <c r="R12" s="5">
        <f t="shared" si="2"/>
        <v>0.6076477847631917</v>
      </c>
      <c r="S12" s="5">
        <f t="shared" si="3"/>
        <v>0.50204560307916068</v>
      </c>
      <c r="T12" s="5">
        <f t="shared" si="4"/>
        <v>0.78821673282082272</v>
      </c>
    </row>
    <row r="13" spans="1:20" x14ac:dyDescent="0.15">
      <c r="E13">
        <v>0.4</v>
      </c>
      <c r="F13">
        <v>0.61</v>
      </c>
      <c r="G13">
        <v>0.48</v>
      </c>
      <c r="H13">
        <v>0.3</v>
      </c>
      <c r="I13" s="5">
        <f t="shared" si="0"/>
        <v>0.53113086899558004</v>
      </c>
      <c r="J13">
        <f>'model coef'!D13</f>
        <v>503</v>
      </c>
      <c r="K13">
        <f>'model coef'!E13</f>
        <v>-2.657</v>
      </c>
      <c r="L13">
        <f>'model coef'!F13</f>
        <v>1.18</v>
      </c>
      <c r="M13">
        <f>'model coef'!G13</f>
        <v>1.88</v>
      </c>
      <c r="N13">
        <v>0.81799999999999995</v>
      </c>
      <c r="O13">
        <v>0.81799999999999995</v>
      </c>
      <c r="Q13">
        <f t="shared" si="1"/>
        <v>-4.6192776430872421E-3</v>
      </c>
      <c r="R13" s="5">
        <f t="shared" si="2"/>
        <v>0.60825500464811033</v>
      </c>
      <c r="S13" s="5">
        <f t="shared" si="3"/>
        <v>0.47780854840665066</v>
      </c>
      <c r="T13" s="5">
        <f t="shared" si="4"/>
        <v>0.77348248823741539</v>
      </c>
    </row>
    <row r="14" spans="1:20" x14ac:dyDescent="0.15">
      <c r="E14">
        <v>0.5</v>
      </c>
      <c r="F14">
        <v>0.61</v>
      </c>
      <c r="G14">
        <v>0.46</v>
      </c>
      <c r="H14">
        <v>0.3</v>
      </c>
      <c r="I14" s="5">
        <f t="shared" si="0"/>
        <v>0.53113086899558004</v>
      </c>
      <c r="J14">
        <f>'model coef'!D14</f>
        <v>456.6</v>
      </c>
      <c r="K14">
        <f>'model coef'!E14</f>
        <v>-2.669</v>
      </c>
      <c r="L14">
        <f>'model coef'!F14</f>
        <v>1.18</v>
      </c>
      <c r="M14">
        <f>'model coef'!G14</f>
        <v>1.88</v>
      </c>
      <c r="N14">
        <v>0.78300000000000003</v>
      </c>
      <c r="O14">
        <v>0.78300000000000003</v>
      </c>
      <c r="Q14">
        <f t="shared" si="1"/>
        <v>-3.6785996473443533E-3</v>
      </c>
      <c r="R14" s="5">
        <f t="shared" si="2"/>
        <v>0.60866963747827507</v>
      </c>
      <c r="S14" s="5">
        <f t="shared" si="3"/>
        <v>0.45832947983633127</v>
      </c>
      <c r="T14" s="5">
        <f t="shared" si="4"/>
        <v>0.7619348001469527</v>
      </c>
    </row>
    <row r="15" spans="1:20" x14ac:dyDescent="0.15">
      <c r="E15">
        <v>0.6</v>
      </c>
      <c r="F15">
        <v>0.61</v>
      </c>
      <c r="G15">
        <v>0.45</v>
      </c>
      <c r="H15">
        <v>0.3</v>
      </c>
      <c r="I15" s="5">
        <f t="shared" si="0"/>
        <v>0.53113086899558004</v>
      </c>
      <c r="J15">
        <f>'model coef'!D15</f>
        <v>430.3</v>
      </c>
      <c r="K15">
        <f>'model coef'!E15</f>
        <v>-2.5990000000000002</v>
      </c>
      <c r="L15">
        <f>'model coef'!F15</f>
        <v>1.18</v>
      </c>
      <c r="M15">
        <f>'model coef'!G15</f>
        <v>1.88</v>
      </c>
      <c r="N15">
        <f>(N14+N16)/2</f>
        <v>0.73150000000000004</v>
      </c>
      <c r="O15">
        <f>(O14+O16)/2</f>
        <v>0.73150000000000004</v>
      </c>
      <c r="Q15">
        <f t="shared" si="1"/>
        <v>-3.0585632030991476E-3</v>
      </c>
      <c r="R15" s="5">
        <f t="shared" si="2"/>
        <v>0.60896661019906095</v>
      </c>
      <c r="S15" s="5">
        <f t="shared" si="3"/>
        <v>0.44870257788387474</v>
      </c>
      <c r="T15" s="5">
        <f t="shared" si="4"/>
        <v>0.75642206190523675</v>
      </c>
    </row>
    <row r="16" spans="1:20" x14ac:dyDescent="0.15">
      <c r="E16">
        <v>0.75</v>
      </c>
      <c r="F16">
        <v>0.61</v>
      </c>
      <c r="G16">
        <v>0.45</v>
      </c>
      <c r="H16">
        <v>0.3</v>
      </c>
      <c r="I16" s="5">
        <f t="shared" si="0"/>
        <v>0.53113086899558004</v>
      </c>
      <c r="J16">
        <f>'model coef'!D16</f>
        <v>410.5</v>
      </c>
      <c r="K16">
        <f>'model coef'!E16</f>
        <v>-2.4009999999999998</v>
      </c>
      <c r="L16">
        <f>'model coef'!F16</f>
        <v>1.18</v>
      </c>
      <c r="M16">
        <f>'model coef'!G16</f>
        <v>1.88</v>
      </c>
      <c r="N16">
        <v>0.68</v>
      </c>
      <c r="O16">
        <v>0.68</v>
      </c>
      <c r="Q16">
        <f t="shared" si="1"/>
        <v>-2.4647711927926891E-3</v>
      </c>
      <c r="R16" s="5">
        <f t="shared" si="2"/>
        <v>0.60922581160693678</v>
      </c>
      <c r="S16" s="5">
        <f t="shared" si="3"/>
        <v>0.44902821183591068</v>
      </c>
      <c r="T16" s="5">
        <f t="shared" si="4"/>
        <v>0.75682390590723703</v>
      </c>
    </row>
    <row r="17" spans="5:20" x14ac:dyDescent="0.15">
      <c r="E17">
        <v>1</v>
      </c>
      <c r="F17">
        <v>0.61</v>
      </c>
      <c r="G17">
        <v>0.45</v>
      </c>
      <c r="H17">
        <v>0.3</v>
      </c>
      <c r="I17" s="5">
        <f t="shared" si="0"/>
        <v>0.53113086899558004</v>
      </c>
      <c r="J17">
        <f>'model coef'!D17</f>
        <v>400</v>
      </c>
      <c r="K17">
        <f>'model coef'!E17</f>
        <v>-1.9550000000000001</v>
      </c>
      <c r="L17">
        <f>'model coef'!F17</f>
        <v>1.18</v>
      </c>
      <c r="M17">
        <f>'model coef'!G17</f>
        <v>1.88</v>
      </c>
      <c r="N17">
        <v>0.60699999999999998</v>
      </c>
      <c r="O17">
        <v>0.60699999999999998</v>
      </c>
      <c r="Q17">
        <f t="shared" si="1"/>
        <v>-1.8521301767269955E-3</v>
      </c>
      <c r="R17" s="5">
        <f t="shared" si="2"/>
        <v>0.60948065580590749</v>
      </c>
      <c r="S17" s="5">
        <f t="shared" si="3"/>
        <v>0.44934823889516595</v>
      </c>
      <c r="T17" s="5">
        <f t="shared" si="4"/>
        <v>0.75721893108914429</v>
      </c>
    </row>
    <row r="18" spans="5:20" x14ac:dyDescent="0.15">
      <c r="E18">
        <v>1.5</v>
      </c>
      <c r="F18">
        <v>0.61</v>
      </c>
      <c r="G18">
        <v>0.45</v>
      </c>
      <c r="H18">
        <v>0.3</v>
      </c>
      <c r="I18" s="5">
        <f t="shared" si="0"/>
        <v>0.53113086899558004</v>
      </c>
      <c r="J18">
        <f>'model coef'!D18</f>
        <v>400</v>
      </c>
      <c r="K18">
        <f>'model coef'!E18</f>
        <v>-1.0249999999999999</v>
      </c>
      <c r="L18">
        <f>'model coef'!F18</f>
        <v>1.18</v>
      </c>
      <c r="M18">
        <f>'model coef'!G18</f>
        <v>1.88</v>
      </c>
      <c r="N18">
        <v>0.504</v>
      </c>
      <c r="O18">
        <v>0.504</v>
      </c>
      <c r="Q18">
        <f t="shared" si="1"/>
        <v>-9.7106569368039385E-4</v>
      </c>
      <c r="R18" s="5">
        <f t="shared" si="2"/>
        <v>0.60977384076245189</v>
      </c>
      <c r="S18" s="5">
        <f t="shared" si="3"/>
        <v>0.44971626079108901</v>
      </c>
      <c r="T18" s="5">
        <f t="shared" si="4"/>
        <v>0.75767331489112821</v>
      </c>
    </row>
    <row r="19" spans="5:20" x14ac:dyDescent="0.15">
      <c r="E19">
        <v>2</v>
      </c>
      <c r="F19">
        <v>0.61</v>
      </c>
      <c r="G19">
        <v>0.45</v>
      </c>
      <c r="H19">
        <v>0.3</v>
      </c>
      <c r="I19" s="5">
        <f t="shared" si="0"/>
        <v>0.53113086899558004</v>
      </c>
      <c r="J19">
        <f>'model coef'!D19</f>
        <v>400</v>
      </c>
      <c r="K19">
        <f>'model coef'!E19</f>
        <v>-0.29899999999999999</v>
      </c>
      <c r="L19">
        <f>'model coef'!F19</f>
        <v>1.18</v>
      </c>
      <c r="M19">
        <f>'model coef'!G19</f>
        <v>1.88</v>
      </c>
      <c r="N19">
        <v>0.43099999999999999</v>
      </c>
      <c r="O19">
        <v>0.43099999999999999</v>
      </c>
      <c r="Q19">
        <f t="shared" si="1"/>
        <v>-2.8326696820530516E-4</v>
      </c>
      <c r="R19" s="5">
        <f t="shared" si="2"/>
        <v>0.60994355521674426</v>
      </c>
      <c r="S19" s="5">
        <f t="shared" si="3"/>
        <v>0.44992920140794901</v>
      </c>
      <c r="T19" s="5">
        <f t="shared" si="4"/>
        <v>0.75793629470426882</v>
      </c>
    </row>
    <row r="20" spans="5:20" x14ac:dyDescent="0.15">
      <c r="E20">
        <v>2.5</v>
      </c>
      <c r="F20">
        <v>0.61</v>
      </c>
      <c r="G20">
        <v>0.45</v>
      </c>
      <c r="H20">
        <v>0.3</v>
      </c>
      <c r="I20" s="5">
        <f t="shared" si="0"/>
        <v>0.53113086899558004</v>
      </c>
      <c r="J20">
        <f>'model coef'!D20</f>
        <v>400</v>
      </c>
      <c r="K20">
        <f>'model coef'!E20</f>
        <v>0</v>
      </c>
      <c r="L20">
        <f>'model coef'!F20</f>
        <v>1.18</v>
      </c>
      <c r="M20">
        <f>'model coef'!G20</f>
        <v>1.88</v>
      </c>
      <c r="N20">
        <f>(N19+N21)/2</f>
        <v>0.3795</v>
      </c>
      <c r="O20">
        <f>(O19+O21)/2</f>
        <v>0.3795</v>
      </c>
      <c r="Q20">
        <f t="shared" si="1"/>
        <v>0</v>
      </c>
      <c r="R20" s="5">
        <f t="shared" si="2"/>
        <v>0.61</v>
      </c>
      <c r="S20" s="5">
        <f t="shared" si="3"/>
        <v>0.45</v>
      </c>
      <c r="T20" s="5">
        <f t="shared" si="4"/>
        <v>0.75802374632988911</v>
      </c>
    </row>
    <row r="21" spans="5:20" x14ac:dyDescent="0.15">
      <c r="E21">
        <v>3</v>
      </c>
      <c r="F21">
        <v>0.61</v>
      </c>
      <c r="G21">
        <v>0.45</v>
      </c>
      <c r="H21">
        <v>0.3</v>
      </c>
      <c r="I21" s="5">
        <f t="shared" si="0"/>
        <v>0.53113086899558004</v>
      </c>
      <c r="J21">
        <f>'model coef'!D21</f>
        <v>400</v>
      </c>
      <c r="K21">
        <f>'model coef'!E21</f>
        <v>0</v>
      </c>
      <c r="L21">
        <f>'model coef'!F21</f>
        <v>1.18</v>
      </c>
      <c r="M21">
        <f>'model coef'!G21</f>
        <v>1.88</v>
      </c>
      <c r="N21">
        <v>0.32800000000000001</v>
      </c>
      <c r="O21">
        <v>0.32800000000000001</v>
      </c>
      <c r="Q21">
        <f t="shared" si="1"/>
        <v>0</v>
      </c>
      <c r="R21" s="5">
        <f t="shared" si="2"/>
        <v>0.61</v>
      </c>
      <c r="S21" s="5">
        <f t="shared" si="3"/>
        <v>0.45</v>
      </c>
      <c r="T21" s="5">
        <f t="shared" si="4"/>
        <v>0.75802374632988911</v>
      </c>
    </row>
    <row r="22" spans="5:20" x14ac:dyDescent="0.15">
      <c r="E22">
        <v>4</v>
      </c>
      <c r="F22">
        <v>0.61</v>
      </c>
      <c r="G22">
        <v>0.45</v>
      </c>
      <c r="H22">
        <v>0.3</v>
      </c>
      <c r="I22" s="5">
        <f t="shared" si="0"/>
        <v>0.53113086899558004</v>
      </c>
      <c r="J22">
        <f>'model coef'!D22</f>
        <v>400</v>
      </c>
      <c r="K22">
        <f>'model coef'!E22</f>
        <v>0</v>
      </c>
      <c r="L22">
        <f>'model coef'!F22</f>
        <v>1.18</v>
      </c>
      <c r="M22">
        <f>'model coef'!G22</f>
        <v>1.88</v>
      </c>
      <c r="N22">
        <v>0.255</v>
      </c>
      <c r="O22">
        <v>0.255</v>
      </c>
      <c r="Q22">
        <f t="shared" si="1"/>
        <v>0</v>
      </c>
      <c r="R22" s="5">
        <f t="shared" si="2"/>
        <v>0.61</v>
      </c>
      <c r="S22" s="5">
        <f t="shared" si="3"/>
        <v>0.45</v>
      </c>
      <c r="T22" s="5">
        <f t="shared" si="4"/>
        <v>0.75802374632988911</v>
      </c>
    </row>
    <row r="23" spans="5:20" x14ac:dyDescent="0.15">
      <c r="E23">
        <v>5</v>
      </c>
      <c r="F23">
        <v>0.61</v>
      </c>
      <c r="G23">
        <v>0.45</v>
      </c>
      <c r="H23">
        <v>0.3</v>
      </c>
      <c r="I23" s="5">
        <f t="shared" si="0"/>
        <v>0.53113086899558004</v>
      </c>
      <c r="J23">
        <f>'model coef'!D23</f>
        <v>400</v>
      </c>
      <c r="K23">
        <f>'model coef'!E23</f>
        <v>0</v>
      </c>
      <c r="L23">
        <f>'model coef'!F23</f>
        <v>1.18</v>
      </c>
      <c r="M23">
        <f>'model coef'!G23</f>
        <v>1.88</v>
      </c>
      <c r="N23">
        <v>0.2</v>
      </c>
      <c r="O23">
        <v>0.2</v>
      </c>
      <c r="Q23">
        <f t="shared" si="1"/>
        <v>0</v>
      </c>
      <c r="R23" s="5">
        <f t="shared" si="2"/>
        <v>0.61</v>
      </c>
      <c r="S23" s="5">
        <f t="shared" si="3"/>
        <v>0.45</v>
      </c>
      <c r="T23" s="5">
        <f t="shared" si="4"/>
        <v>0.75802374632988911</v>
      </c>
    </row>
    <row r="24" spans="5:20" x14ac:dyDescent="0.15">
      <c r="E24">
        <v>6</v>
      </c>
      <c r="F24">
        <v>0.61</v>
      </c>
      <c r="G24">
        <v>0.45</v>
      </c>
      <c r="H24">
        <v>0.3</v>
      </c>
      <c r="I24" s="5">
        <f t="shared" si="0"/>
        <v>0.53113086899558004</v>
      </c>
      <c r="J24">
        <f>'model coef'!D24</f>
        <v>400</v>
      </c>
      <c r="K24">
        <f>'model coef'!E24</f>
        <v>0</v>
      </c>
      <c r="L24">
        <f>'model coef'!F24</f>
        <v>1.18</v>
      </c>
      <c r="M24">
        <f>'model coef'!G24</f>
        <v>1.88</v>
      </c>
      <c r="N24">
        <v>0.2</v>
      </c>
      <c r="O24">
        <v>0.2</v>
      </c>
      <c r="Q24">
        <f t="shared" si="1"/>
        <v>0</v>
      </c>
      <c r="R24" s="5">
        <f t="shared" si="2"/>
        <v>0.61</v>
      </c>
      <c r="S24" s="5">
        <f t="shared" si="3"/>
        <v>0.45</v>
      </c>
      <c r="T24" s="5">
        <f t="shared" si="4"/>
        <v>0.75802374632988911</v>
      </c>
    </row>
    <row r="25" spans="5:20" x14ac:dyDescent="0.15">
      <c r="E25">
        <v>7.5</v>
      </c>
      <c r="F25">
        <v>0.61</v>
      </c>
      <c r="G25">
        <v>0.45</v>
      </c>
      <c r="H25">
        <v>0.3</v>
      </c>
      <c r="I25" s="5">
        <f t="shared" si="0"/>
        <v>0.53113086899558004</v>
      </c>
      <c r="J25">
        <f>'model coef'!D25</f>
        <v>400</v>
      </c>
      <c r="K25">
        <f>'model coef'!E25</f>
        <v>0</v>
      </c>
      <c r="L25">
        <f>'model coef'!F25</f>
        <v>1.18</v>
      </c>
      <c r="M25">
        <f>'model coef'!G25</f>
        <v>1.88</v>
      </c>
      <c r="N25">
        <v>0.2</v>
      </c>
      <c r="O25">
        <v>0.2</v>
      </c>
      <c r="Q25">
        <f t="shared" si="1"/>
        <v>0</v>
      </c>
      <c r="R25" s="5">
        <f t="shared" si="2"/>
        <v>0.61</v>
      </c>
      <c r="S25" s="5">
        <f t="shared" si="3"/>
        <v>0.45</v>
      </c>
      <c r="T25" s="5">
        <f t="shared" si="4"/>
        <v>0.75802374632988911</v>
      </c>
    </row>
    <row r="26" spans="5:20" x14ac:dyDescent="0.15">
      <c r="E26">
        <v>10</v>
      </c>
      <c r="F26">
        <v>0.61</v>
      </c>
      <c r="G26">
        <v>0.45</v>
      </c>
      <c r="H26">
        <v>0.3</v>
      </c>
      <c r="I26" s="5">
        <f t="shared" si="0"/>
        <v>0.53113086899558004</v>
      </c>
      <c r="J26">
        <f>'model coef'!D26</f>
        <v>400</v>
      </c>
      <c r="K26">
        <f>'model coef'!E26</f>
        <v>0</v>
      </c>
      <c r="L26">
        <f>'model coef'!F26</f>
        <v>1.18</v>
      </c>
      <c r="M26">
        <f>'model coef'!G26</f>
        <v>1.88</v>
      </c>
      <c r="N26">
        <v>0.2</v>
      </c>
      <c r="O26">
        <v>0.2</v>
      </c>
      <c r="Q26">
        <f t="shared" si="1"/>
        <v>0</v>
      </c>
      <c r="R26" s="5">
        <f t="shared" si="2"/>
        <v>0.61</v>
      </c>
      <c r="S26" s="5">
        <f t="shared" si="3"/>
        <v>0.45</v>
      </c>
      <c r="T26" s="5">
        <f t="shared" si="4"/>
        <v>0.75802374632988911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66AF7-18DD-8A40-9B49-C535D19B7BA1}">
  <dimension ref="B1:CJ53"/>
  <sheetViews>
    <sheetView workbookViewId="0">
      <selection activeCell="CD3" sqref="CD3:CD28"/>
    </sheetView>
  </sheetViews>
  <sheetFormatPr baseColWidth="10" defaultRowHeight="13" x14ac:dyDescent="0.15"/>
  <sheetData>
    <row r="1" spans="2:88" x14ac:dyDescent="0.15">
      <c r="BE1">
        <v>1</v>
      </c>
      <c r="BF1">
        <v>2</v>
      </c>
      <c r="BG1">
        <v>3</v>
      </c>
      <c r="BH1">
        <v>4</v>
      </c>
      <c r="BI1">
        <v>5</v>
      </c>
      <c r="BJ1">
        <v>6</v>
      </c>
      <c r="BK1">
        <v>7</v>
      </c>
      <c r="BL1">
        <v>1</v>
      </c>
      <c r="BM1">
        <v>2</v>
      </c>
      <c r="BN1">
        <v>3</v>
      </c>
      <c r="BO1">
        <v>4</v>
      </c>
      <c r="BP1">
        <v>5</v>
      </c>
      <c r="BQ1">
        <v>6</v>
      </c>
      <c r="BR1">
        <v>7</v>
      </c>
      <c r="BS1">
        <v>1</v>
      </c>
      <c r="BT1">
        <v>2</v>
      </c>
      <c r="BU1">
        <v>3</v>
      </c>
      <c r="BV1">
        <v>4</v>
      </c>
      <c r="BW1">
        <v>5</v>
      </c>
      <c r="BX1">
        <v>6</v>
      </c>
      <c r="BY1">
        <v>7</v>
      </c>
    </row>
    <row r="2" spans="2:88" x14ac:dyDescent="0.15">
      <c r="I2">
        <v>1</v>
      </c>
      <c r="J2">
        <v>2</v>
      </c>
      <c r="K2">
        <v>3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12</v>
      </c>
      <c r="U2">
        <v>13</v>
      </c>
      <c r="V2">
        <v>14</v>
      </c>
      <c r="W2">
        <v>15</v>
      </c>
      <c r="X2">
        <v>16</v>
      </c>
      <c r="Y2">
        <v>17</v>
      </c>
      <c r="Z2">
        <v>18</v>
      </c>
      <c r="AA2">
        <v>19</v>
      </c>
      <c r="AB2">
        <v>20</v>
      </c>
      <c r="AC2">
        <v>21</v>
      </c>
      <c r="AD2">
        <v>22</v>
      </c>
      <c r="AE2">
        <v>23</v>
      </c>
      <c r="AF2">
        <v>24</v>
      </c>
      <c r="AG2">
        <v>25</v>
      </c>
      <c r="AH2">
        <v>26</v>
      </c>
      <c r="AI2">
        <v>27</v>
      </c>
      <c r="AJ2">
        <v>28</v>
      </c>
      <c r="AK2">
        <v>29</v>
      </c>
      <c r="AL2">
        <v>30</v>
      </c>
      <c r="AM2">
        <v>31</v>
      </c>
      <c r="AN2">
        <v>32</v>
      </c>
      <c r="AO2">
        <v>33</v>
      </c>
      <c r="AP2">
        <v>34</v>
      </c>
      <c r="AQ2">
        <v>35</v>
      </c>
      <c r="AR2">
        <v>36</v>
      </c>
      <c r="AS2">
        <v>37</v>
      </c>
      <c r="AT2">
        <v>38</v>
      </c>
      <c r="AU2">
        <v>39</v>
      </c>
      <c r="AV2">
        <v>40</v>
      </c>
      <c r="AW2">
        <v>41</v>
      </c>
      <c r="AX2">
        <v>42</v>
      </c>
      <c r="AY2">
        <v>43</v>
      </c>
      <c r="AZ2">
        <v>44</v>
      </c>
      <c r="BA2">
        <v>45</v>
      </c>
      <c r="BE2" t="s">
        <v>88</v>
      </c>
      <c r="BF2" t="s">
        <v>88</v>
      </c>
      <c r="BG2" t="s">
        <v>88</v>
      </c>
      <c r="BH2" t="s">
        <v>88</v>
      </c>
      <c r="BI2" t="s">
        <v>88</v>
      </c>
      <c r="BJ2" t="s">
        <v>88</v>
      </c>
      <c r="BK2" t="s">
        <v>88</v>
      </c>
      <c r="BL2" t="s">
        <v>89</v>
      </c>
      <c r="BM2" t="s">
        <v>89</v>
      </c>
      <c r="BN2" t="s">
        <v>89</v>
      </c>
      <c r="BO2" t="s">
        <v>89</v>
      </c>
      <c r="BP2" t="s">
        <v>89</v>
      </c>
      <c r="BQ2" t="s">
        <v>89</v>
      </c>
      <c r="BR2" t="s">
        <v>89</v>
      </c>
      <c r="BS2" t="s">
        <v>90</v>
      </c>
      <c r="BT2" t="s">
        <v>90</v>
      </c>
      <c r="BU2" t="s">
        <v>90</v>
      </c>
      <c r="BV2" t="s">
        <v>90</v>
      </c>
      <c r="BW2" t="s">
        <v>90</v>
      </c>
      <c r="BX2" t="s">
        <v>90</v>
      </c>
      <c r="BY2" t="s">
        <v>90</v>
      </c>
    </row>
    <row r="3" spans="2:88" x14ac:dyDescent="0.15">
      <c r="B3">
        <v>0</v>
      </c>
      <c r="C3">
        <v>8.1999999999999993</v>
      </c>
      <c r="D3">
        <v>865.1</v>
      </c>
      <c r="E3">
        <v>-1.1859999999999999</v>
      </c>
      <c r="F3">
        <v>1.18</v>
      </c>
      <c r="G3">
        <v>1.88</v>
      </c>
      <c r="H3">
        <v>10</v>
      </c>
      <c r="I3">
        <v>0</v>
      </c>
      <c r="J3">
        <v>-0.97699999999999998</v>
      </c>
      <c r="K3">
        <v>0.1</v>
      </c>
      <c r="L3">
        <v>0.59</v>
      </c>
      <c r="M3">
        <v>0</v>
      </c>
      <c r="N3">
        <v>-6.8999999999999999E-3</v>
      </c>
      <c r="O3">
        <v>0</v>
      </c>
      <c r="P3">
        <v>0</v>
      </c>
      <c r="Q3">
        <v>0.4</v>
      </c>
      <c r="R3">
        <v>1.73</v>
      </c>
      <c r="S3">
        <v>1.7000000000000001E-2</v>
      </c>
      <c r="T3">
        <v>0.98299999999999998</v>
      </c>
      <c r="U3">
        <v>-1.35E-2</v>
      </c>
      <c r="V3">
        <v>-0.223</v>
      </c>
      <c r="W3">
        <v>0</v>
      </c>
      <c r="X3">
        <v>0</v>
      </c>
      <c r="Y3">
        <v>0</v>
      </c>
      <c r="Z3">
        <v>-0.16500000000000001</v>
      </c>
      <c r="AA3">
        <v>0</v>
      </c>
      <c r="AB3">
        <v>-2.4910000000000002E-2</v>
      </c>
      <c r="AC3">
        <v>8.4199999999999997E-2</v>
      </c>
      <c r="AD3">
        <v>-6.0800000000000003E-3</v>
      </c>
      <c r="AE3">
        <v>2.5000000000000001E-3</v>
      </c>
      <c r="AF3">
        <v>0</v>
      </c>
      <c r="AG3">
        <v>-1.4999999999999999E-4</v>
      </c>
      <c r="AH3">
        <v>6.2399999999999999E-3</v>
      </c>
      <c r="AI3">
        <v>-1.2999999999999999E-3</v>
      </c>
      <c r="AJ3">
        <v>1.2700000000000001E-3</v>
      </c>
      <c r="AK3">
        <v>7.3999999999999999E-4</v>
      </c>
      <c r="AL3">
        <v>6.8399999999999997E-3</v>
      </c>
      <c r="AM3">
        <v>0</v>
      </c>
      <c r="AN3">
        <v>2.3404699999999998</v>
      </c>
      <c r="AO3">
        <v>2.5670299999999999</v>
      </c>
      <c r="AP3">
        <v>3.7877900000000002</v>
      </c>
      <c r="AQ3">
        <v>3.27976</v>
      </c>
      <c r="AR3">
        <v>3.4103699999999999</v>
      </c>
      <c r="AS3">
        <v>2.4641799999999998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0.58620000000000005</v>
      </c>
      <c r="BC3">
        <v>0.53437000000000001</v>
      </c>
      <c r="BE3">
        <f t="shared" ref="BE3:BK18" si="0">$T3+Y3</f>
        <v>0.98299999999999998</v>
      </c>
      <c r="BF3">
        <f t="shared" si="0"/>
        <v>0.81799999999999995</v>
      </c>
      <c r="BG3">
        <f t="shared" si="0"/>
        <v>0.98299999999999998</v>
      </c>
      <c r="BH3">
        <f t="shared" si="0"/>
        <v>0.95809</v>
      </c>
      <c r="BI3">
        <f t="shared" si="0"/>
        <v>1.0671999999999999</v>
      </c>
      <c r="BJ3">
        <f t="shared" si="0"/>
        <v>0.97692000000000001</v>
      </c>
      <c r="BK3">
        <f t="shared" si="0"/>
        <v>0.98549999999999993</v>
      </c>
      <c r="BL3">
        <f>$N3+AF3</f>
        <v>-6.8999999999999999E-3</v>
      </c>
      <c r="BM3">
        <f t="shared" ref="BM3:BR18" si="1">$N3+AG3</f>
        <v>-7.0499999999999998E-3</v>
      </c>
      <c r="BN3">
        <f t="shared" si="1"/>
        <v>-6.6E-4</v>
      </c>
      <c r="BO3">
        <f t="shared" si="1"/>
        <v>-8.199999999999999E-3</v>
      </c>
      <c r="BP3">
        <f t="shared" si="1"/>
        <v>-5.6299999999999996E-3</v>
      </c>
      <c r="BQ3">
        <f t="shared" si="1"/>
        <v>-6.1599999999999997E-3</v>
      </c>
      <c r="BR3">
        <f t="shared" si="1"/>
        <v>-6.0000000000000157E-5</v>
      </c>
      <c r="BS3">
        <f>AM3</f>
        <v>0</v>
      </c>
      <c r="BT3">
        <f t="shared" ref="BT3:BY18" si="2">AN3</f>
        <v>2.3404699999999998</v>
      </c>
      <c r="BU3">
        <f t="shared" si="2"/>
        <v>2.5670299999999999</v>
      </c>
      <c r="BV3">
        <f t="shared" si="2"/>
        <v>3.7877900000000002</v>
      </c>
      <c r="BW3">
        <f t="shared" si="2"/>
        <v>3.27976</v>
      </c>
      <c r="BX3">
        <f t="shared" si="2"/>
        <v>3.4103699999999999</v>
      </c>
      <c r="BY3">
        <f t="shared" si="2"/>
        <v>2.4641799999999998</v>
      </c>
      <c r="CA3">
        <f>$T3+$E3*$F3</f>
        <v>-0.41647999999999985</v>
      </c>
      <c r="CD3">
        <f t="shared" ref="CD3:CJ3" si="3">BE3+$E3*$F3</f>
        <v>-0.41647999999999985</v>
      </c>
      <c r="CE3">
        <f t="shared" si="3"/>
        <v>-0.58147999999999989</v>
      </c>
      <c r="CF3">
        <f t="shared" si="3"/>
        <v>-0.41647999999999985</v>
      </c>
      <c r="CG3">
        <f t="shared" si="3"/>
        <v>-0.44138999999999984</v>
      </c>
      <c r="CH3">
        <f t="shared" si="3"/>
        <v>-0.33227999999999991</v>
      </c>
      <c r="CI3">
        <f t="shared" si="3"/>
        <v>-0.42255999999999982</v>
      </c>
      <c r="CJ3">
        <f t="shared" si="3"/>
        <v>-0.4139799999999999</v>
      </c>
    </row>
    <row r="4" spans="2:88" x14ac:dyDescent="0.15">
      <c r="B4">
        <v>0.02</v>
      </c>
      <c r="C4">
        <v>8.1999999999999993</v>
      </c>
      <c r="D4">
        <v>865.1</v>
      </c>
      <c r="E4">
        <v>-1.2190000000000001</v>
      </c>
      <c r="F4">
        <v>1.18</v>
      </c>
      <c r="G4">
        <v>1.88</v>
      </c>
      <c r="H4">
        <v>10</v>
      </c>
      <c r="I4">
        <v>0</v>
      </c>
      <c r="J4">
        <v>-1.004</v>
      </c>
      <c r="K4">
        <v>0.1</v>
      </c>
      <c r="L4">
        <v>0.59</v>
      </c>
      <c r="M4">
        <v>0</v>
      </c>
      <c r="N4">
        <v>-6.8999999999999999E-3</v>
      </c>
      <c r="O4">
        <v>0</v>
      </c>
      <c r="P4">
        <v>0</v>
      </c>
      <c r="Q4">
        <v>0.4</v>
      </c>
      <c r="R4">
        <v>1.73</v>
      </c>
      <c r="S4">
        <v>1.7000000000000001E-2</v>
      </c>
      <c r="T4">
        <v>1.0329999999999999</v>
      </c>
      <c r="U4">
        <v>-1.35E-2</v>
      </c>
      <c r="V4">
        <v>-0.19600000000000001</v>
      </c>
      <c r="W4">
        <v>0</v>
      </c>
      <c r="X4">
        <v>0</v>
      </c>
      <c r="Y4">
        <v>0</v>
      </c>
      <c r="Z4">
        <v>-0.17599999999999999</v>
      </c>
      <c r="AA4">
        <v>0</v>
      </c>
      <c r="AB4">
        <v>-2.393E-2</v>
      </c>
      <c r="AC4">
        <v>8.2970000000000002E-2</v>
      </c>
      <c r="AD4">
        <v>-1.6279999999999999E-2</v>
      </c>
      <c r="AE4">
        <v>-1.0200000000000001E-3</v>
      </c>
      <c r="AF4">
        <v>0</v>
      </c>
      <c r="AG4">
        <v>-1.7000000000000001E-4</v>
      </c>
      <c r="AH4">
        <v>5.79E-3</v>
      </c>
      <c r="AI4">
        <v>-1.2600000000000001E-3</v>
      </c>
      <c r="AJ4">
        <v>1.2199999999999999E-3</v>
      </c>
      <c r="AK4">
        <v>5.8E-4</v>
      </c>
      <c r="AL4">
        <v>6.8999999999999999E-3</v>
      </c>
      <c r="AM4">
        <v>0</v>
      </c>
      <c r="AN4">
        <v>2.3600500000000002</v>
      </c>
      <c r="AO4">
        <v>2.7449599999999998</v>
      </c>
      <c r="AP4">
        <v>3.8994900000000001</v>
      </c>
      <c r="AQ4">
        <v>3.3445200000000002</v>
      </c>
      <c r="AR4">
        <v>3.5761500000000002</v>
      </c>
      <c r="AS4">
        <v>2.50739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0.58740000000000003</v>
      </c>
      <c r="BC4">
        <v>0.54142999999999997</v>
      </c>
      <c r="BE4">
        <f t="shared" si="0"/>
        <v>1.0329999999999999</v>
      </c>
      <c r="BF4">
        <f t="shared" si="0"/>
        <v>0.85699999999999998</v>
      </c>
      <c r="BG4">
        <f t="shared" si="0"/>
        <v>1.0329999999999999</v>
      </c>
      <c r="BH4">
        <f t="shared" si="0"/>
        <v>1.0090699999999999</v>
      </c>
      <c r="BI4">
        <f t="shared" si="0"/>
        <v>1.1159699999999999</v>
      </c>
      <c r="BJ4">
        <f t="shared" si="0"/>
        <v>1.0167199999999998</v>
      </c>
      <c r="BK4">
        <f t="shared" si="0"/>
        <v>1.0319799999999999</v>
      </c>
      <c r="BL4">
        <f t="shared" ref="BL4:BR26" si="4">$N4+AF4</f>
        <v>-6.8999999999999999E-3</v>
      </c>
      <c r="BM4">
        <f t="shared" si="1"/>
        <v>-7.0699999999999999E-3</v>
      </c>
      <c r="BN4">
        <f t="shared" si="1"/>
        <v>-1.1099999999999999E-3</v>
      </c>
      <c r="BO4">
        <f t="shared" si="1"/>
        <v>-8.1600000000000006E-3</v>
      </c>
      <c r="BP4">
        <f t="shared" si="1"/>
        <v>-5.6800000000000002E-3</v>
      </c>
      <c r="BQ4">
        <f t="shared" si="1"/>
        <v>-6.3200000000000001E-3</v>
      </c>
      <c r="BR4">
        <f t="shared" si="1"/>
        <v>0</v>
      </c>
      <c r="BS4">
        <f t="shared" ref="BS4:BY26" si="5">AM4</f>
        <v>0</v>
      </c>
      <c r="BT4">
        <f t="shared" si="2"/>
        <v>2.3600500000000002</v>
      </c>
      <c r="BU4">
        <f t="shared" si="2"/>
        <v>2.7449599999999998</v>
      </c>
      <c r="BV4">
        <f t="shared" si="2"/>
        <v>3.8994900000000001</v>
      </c>
      <c r="BW4">
        <f t="shared" si="2"/>
        <v>3.3445200000000002</v>
      </c>
      <c r="BX4">
        <f t="shared" si="2"/>
        <v>3.5761500000000002</v>
      </c>
      <c r="BY4">
        <f t="shared" si="2"/>
        <v>2.50739</v>
      </c>
      <c r="CA4">
        <f t="shared" ref="CA4:CA26" si="6">$T4+$E4*$F4</f>
        <v>-0.40542000000000011</v>
      </c>
      <c r="CD4">
        <f t="shared" ref="CD4:CD26" si="7">BE4+$E4*$F4</f>
        <v>-0.40542000000000011</v>
      </c>
      <c r="CE4">
        <f t="shared" ref="CE4:CE26" si="8">BF4+$E4*$F4</f>
        <v>-0.58142000000000005</v>
      </c>
      <c r="CF4">
        <f t="shared" ref="CF4:CF26" si="9">BG4+$E4*$F4</f>
        <v>-0.40542000000000011</v>
      </c>
      <c r="CG4">
        <f t="shared" ref="CG4:CG26" si="10">BH4+$E4*$F4</f>
        <v>-0.42935000000000012</v>
      </c>
      <c r="CH4">
        <f t="shared" ref="CH4:CH26" si="11">BI4+$E4*$F4</f>
        <v>-0.32245000000000013</v>
      </c>
      <c r="CI4">
        <f t="shared" ref="CI4:CJ26" si="12">BJ4+$E4*$F4</f>
        <v>-0.42170000000000019</v>
      </c>
      <c r="CJ4">
        <f t="shared" si="12"/>
        <v>-0.40644000000000013</v>
      </c>
    </row>
    <row r="5" spans="2:88" s="26" customFormat="1" x14ac:dyDescent="0.15">
      <c r="B5" s="26">
        <v>0.03</v>
      </c>
      <c r="C5" s="26">
        <v>8.1999999999999993</v>
      </c>
      <c r="D5" s="26">
        <v>907.8</v>
      </c>
      <c r="E5" s="26">
        <v>-1.2729999999999999</v>
      </c>
      <c r="F5" s="26">
        <v>1.18</v>
      </c>
      <c r="G5" s="26">
        <v>1.88</v>
      </c>
      <c r="H5">
        <v>10</v>
      </c>
      <c r="I5">
        <v>0</v>
      </c>
      <c r="J5">
        <v>-1.0720000000000001</v>
      </c>
      <c r="K5">
        <v>0.1</v>
      </c>
      <c r="L5">
        <v>0.59</v>
      </c>
      <c r="M5">
        <v>0</v>
      </c>
      <c r="N5">
        <v>-6.8999999999999999E-3</v>
      </c>
      <c r="O5">
        <v>0</v>
      </c>
      <c r="P5">
        <v>0</v>
      </c>
      <c r="Q5">
        <v>0.4</v>
      </c>
      <c r="R5">
        <v>1.73</v>
      </c>
      <c r="S5">
        <v>1.7000000000000001E-2</v>
      </c>
      <c r="T5">
        <v>1.1259999999999999</v>
      </c>
      <c r="U5">
        <v>-1.35E-2</v>
      </c>
      <c r="V5">
        <v>-0.128</v>
      </c>
      <c r="W5">
        <v>0</v>
      </c>
      <c r="X5">
        <v>0</v>
      </c>
      <c r="Y5">
        <v>0</v>
      </c>
      <c r="Z5">
        <v>-0.20499999999999999</v>
      </c>
      <c r="AA5">
        <v>0</v>
      </c>
      <c r="AB5">
        <v>-1.426E-2</v>
      </c>
      <c r="AC5">
        <v>7.4649999999999994E-2</v>
      </c>
      <c r="AD5">
        <v>-2.928E-2</v>
      </c>
      <c r="AE5">
        <v>-1.508E-2</v>
      </c>
      <c r="AF5">
        <v>0</v>
      </c>
      <c r="AG5">
        <v>-2.4000000000000001E-4</v>
      </c>
      <c r="AH5">
        <v>4.9800000000000001E-3</v>
      </c>
      <c r="AI5">
        <v>-1.2899999999999999E-3</v>
      </c>
      <c r="AJ5">
        <v>1.14E-3</v>
      </c>
      <c r="AK5">
        <v>4.2999999999999999E-4</v>
      </c>
      <c r="AL5">
        <v>6.8900000000000003E-3</v>
      </c>
      <c r="AM5">
        <v>0</v>
      </c>
      <c r="AN5">
        <v>2.3839600000000001</v>
      </c>
      <c r="AO5">
        <v>3.0998399999999999</v>
      </c>
      <c r="AP5">
        <v>4.1932600000000004</v>
      </c>
      <c r="AQ5">
        <v>3.4800599999999999</v>
      </c>
      <c r="AR5">
        <v>3.9041399999999999</v>
      </c>
      <c r="AS5">
        <v>2.6005099999999999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 s="26">
        <v>0.59228000000000003</v>
      </c>
      <c r="BC5" s="26">
        <v>0.55395000000000005</v>
      </c>
      <c r="BE5" s="26">
        <f t="shared" si="0"/>
        <v>1.1259999999999999</v>
      </c>
      <c r="BF5" s="26">
        <f t="shared" si="0"/>
        <v>0.92099999999999993</v>
      </c>
      <c r="BG5" s="26">
        <f t="shared" si="0"/>
        <v>1.1259999999999999</v>
      </c>
      <c r="BH5" s="26">
        <f t="shared" si="0"/>
        <v>1.11174</v>
      </c>
      <c r="BI5" s="26">
        <f t="shared" si="0"/>
        <v>1.20065</v>
      </c>
      <c r="BJ5" s="26">
        <f t="shared" si="0"/>
        <v>1.0967199999999999</v>
      </c>
      <c r="BK5" s="26">
        <f t="shared" si="0"/>
        <v>1.1109199999999999</v>
      </c>
      <c r="BL5" s="26">
        <f t="shared" si="4"/>
        <v>-6.8999999999999999E-3</v>
      </c>
      <c r="BM5" s="26">
        <f t="shared" si="1"/>
        <v>-7.1399999999999996E-3</v>
      </c>
      <c r="BN5" s="26">
        <f t="shared" si="1"/>
        <v>-1.9199999999999998E-3</v>
      </c>
      <c r="BO5" s="26">
        <f t="shared" si="1"/>
        <v>-8.1899999999999994E-3</v>
      </c>
      <c r="BP5" s="26">
        <f t="shared" si="1"/>
        <v>-5.7599999999999995E-3</v>
      </c>
      <c r="BQ5" s="26">
        <f t="shared" si="1"/>
        <v>-6.4700000000000001E-3</v>
      </c>
      <c r="BR5" s="26">
        <f t="shared" si="1"/>
        <v>-9.9999999999995925E-6</v>
      </c>
      <c r="BS5" s="26">
        <f t="shared" si="5"/>
        <v>0</v>
      </c>
      <c r="BT5" s="26">
        <f t="shared" si="2"/>
        <v>2.3839600000000001</v>
      </c>
      <c r="BU5" s="26">
        <f t="shared" si="2"/>
        <v>3.0998399999999999</v>
      </c>
      <c r="BV5" s="26">
        <f t="shared" si="2"/>
        <v>4.1932600000000004</v>
      </c>
      <c r="BW5" s="26">
        <f t="shared" si="2"/>
        <v>3.4800599999999999</v>
      </c>
      <c r="BX5" s="26">
        <f t="shared" si="2"/>
        <v>3.9041399999999999</v>
      </c>
      <c r="BY5" s="26">
        <f t="shared" si="2"/>
        <v>2.6005099999999999</v>
      </c>
      <c r="CA5" s="26">
        <f t="shared" si="6"/>
        <v>-0.37613999999999992</v>
      </c>
      <c r="CD5">
        <f t="shared" si="7"/>
        <v>-0.37613999999999992</v>
      </c>
      <c r="CE5">
        <f t="shared" si="8"/>
        <v>-0.58113999999999988</v>
      </c>
      <c r="CF5">
        <f t="shared" si="9"/>
        <v>-0.37613999999999992</v>
      </c>
      <c r="CG5">
        <f t="shared" si="10"/>
        <v>-0.39039999999999986</v>
      </c>
      <c r="CH5">
        <f t="shared" si="11"/>
        <v>-0.30148999999999981</v>
      </c>
      <c r="CI5">
        <f t="shared" si="12"/>
        <v>-0.40541999999999989</v>
      </c>
      <c r="CJ5">
        <f t="shared" si="12"/>
        <v>-0.3912199999999999</v>
      </c>
    </row>
    <row r="6" spans="2:88" x14ac:dyDescent="0.15">
      <c r="B6">
        <v>0.05</v>
      </c>
      <c r="C6">
        <v>8.1999999999999993</v>
      </c>
      <c r="D6">
        <v>1053.5</v>
      </c>
      <c r="E6">
        <v>-1.3460000000000001</v>
      </c>
      <c r="F6">
        <v>1.18</v>
      </c>
      <c r="G6">
        <v>1.88</v>
      </c>
      <c r="H6">
        <v>10</v>
      </c>
      <c r="I6">
        <v>0</v>
      </c>
      <c r="J6">
        <v>-1.07</v>
      </c>
      <c r="K6">
        <v>0.1</v>
      </c>
      <c r="L6">
        <v>0.59</v>
      </c>
      <c r="M6">
        <v>0</v>
      </c>
      <c r="N6">
        <v>-7.6E-3</v>
      </c>
      <c r="O6">
        <v>0</v>
      </c>
      <c r="P6">
        <v>0</v>
      </c>
      <c r="Q6">
        <v>0.4</v>
      </c>
      <c r="R6">
        <v>1.73</v>
      </c>
      <c r="S6">
        <v>1.7999999999999999E-2</v>
      </c>
      <c r="T6">
        <v>1.3180000000000001</v>
      </c>
      <c r="U6">
        <v>-1.38E-2</v>
      </c>
      <c r="V6">
        <v>-0.13</v>
      </c>
      <c r="W6">
        <v>0</v>
      </c>
      <c r="X6">
        <v>0</v>
      </c>
      <c r="Y6">
        <v>0</v>
      </c>
      <c r="Z6">
        <v>-0.311</v>
      </c>
      <c r="AA6">
        <v>0</v>
      </c>
      <c r="AB6">
        <v>1.712E-2</v>
      </c>
      <c r="AC6">
        <v>2.819E-2</v>
      </c>
      <c r="AD6">
        <v>-0.11443</v>
      </c>
      <c r="AE6">
        <v>-5.3719999999999997E-2</v>
      </c>
      <c r="AF6">
        <v>0</v>
      </c>
      <c r="AG6">
        <v>2.9999999999999997E-4</v>
      </c>
      <c r="AH6">
        <v>3.8700000000000002E-3</v>
      </c>
      <c r="AI6">
        <v>-1.42E-3</v>
      </c>
      <c r="AJ6">
        <v>1.75E-3</v>
      </c>
      <c r="AK6">
        <v>6.6E-4</v>
      </c>
      <c r="AL6">
        <v>7.43E-3</v>
      </c>
      <c r="AM6">
        <v>0</v>
      </c>
      <c r="AN6">
        <v>2.44598</v>
      </c>
      <c r="AO6">
        <v>3.56942</v>
      </c>
      <c r="AP6">
        <v>4.6023100000000001</v>
      </c>
      <c r="AQ6">
        <v>3.68058</v>
      </c>
      <c r="AR6">
        <v>4.1055200000000003</v>
      </c>
      <c r="AS6">
        <v>2.7779500000000001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0.60972000000000004</v>
      </c>
      <c r="BC6">
        <v>0.61253000000000002</v>
      </c>
      <c r="BE6">
        <f t="shared" si="0"/>
        <v>1.3180000000000001</v>
      </c>
      <c r="BF6">
        <f t="shared" si="0"/>
        <v>1.0070000000000001</v>
      </c>
      <c r="BG6">
        <f t="shared" si="0"/>
        <v>1.3180000000000001</v>
      </c>
      <c r="BH6">
        <f t="shared" si="0"/>
        <v>1.3351200000000001</v>
      </c>
      <c r="BI6">
        <f t="shared" si="0"/>
        <v>1.34619</v>
      </c>
      <c r="BJ6">
        <f t="shared" si="0"/>
        <v>1.20357</v>
      </c>
      <c r="BK6">
        <f t="shared" si="0"/>
        <v>1.2642800000000001</v>
      </c>
      <c r="BL6">
        <f t="shared" si="4"/>
        <v>-7.6E-3</v>
      </c>
      <c r="BM6">
        <f t="shared" si="1"/>
        <v>-7.3000000000000001E-3</v>
      </c>
      <c r="BN6">
        <f t="shared" si="1"/>
        <v>-3.7299999999999998E-3</v>
      </c>
      <c r="BO6">
        <f t="shared" si="1"/>
        <v>-9.0200000000000002E-3</v>
      </c>
      <c r="BP6">
        <f t="shared" si="1"/>
        <v>-5.8500000000000002E-3</v>
      </c>
      <c r="BQ6">
        <f t="shared" si="1"/>
        <v>-6.94E-3</v>
      </c>
      <c r="BR6">
        <f t="shared" si="1"/>
        <v>-1.7000000000000001E-4</v>
      </c>
      <c r="BS6">
        <f t="shared" si="5"/>
        <v>0</v>
      </c>
      <c r="BT6">
        <f t="shared" si="2"/>
        <v>2.44598</v>
      </c>
      <c r="BU6">
        <f t="shared" si="2"/>
        <v>3.56942</v>
      </c>
      <c r="BV6">
        <f t="shared" si="2"/>
        <v>4.6023100000000001</v>
      </c>
      <c r="BW6">
        <f t="shared" si="2"/>
        <v>3.68058</v>
      </c>
      <c r="BX6">
        <f t="shared" si="2"/>
        <v>4.1055200000000003</v>
      </c>
      <c r="BY6">
        <f t="shared" si="2"/>
        <v>2.7779500000000001</v>
      </c>
      <c r="CA6">
        <f t="shared" si="6"/>
        <v>-0.27027999999999985</v>
      </c>
      <c r="CD6">
        <f t="shared" si="7"/>
        <v>-0.27027999999999985</v>
      </c>
      <c r="CE6">
        <f t="shared" si="8"/>
        <v>-0.5812799999999998</v>
      </c>
      <c r="CF6">
        <f t="shared" si="9"/>
        <v>-0.27027999999999985</v>
      </c>
      <c r="CG6">
        <f t="shared" si="10"/>
        <v>-0.25315999999999983</v>
      </c>
      <c r="CH6">
        <f t="shared" si="11"/>
        <v>-0.24208999999999992</v>
      </c>
      <c r="CI6">
        <f t="shared" si="12"/>
        <v>-0.38470999999999989</v>
      </c>
      <c r="CJ6">
        <f t="shared" si="12"/>
        <v>-0.32399999999999984</v>
      </c>
    </row>
    <row r="7" spans="2:88" x14ac:dyDescent="0.15">
      <c r="B7">
        <v>7.4999999999999997E-2</v>
      </c>
      <c r="C7">
        <v>8.1999999999999993</v>
      </c>
      <c r="D7">
        <v>1085.7</v>
      </c>
      <c r="E7">
        <v>-1.4710000000000001</v>
      </c>
      <c r="F7">
        <v>1.18</v>
      </c>
      <c r="G7">
        <v>1.88</v>
      </c>
      <c r="H7">
        <v>10</v>
      </c>
      <c r="I7">
        <v>0</v>
      </c>
      <c r="J7">
        <v>-1.07</v>
      </c>
      <c r="K7">
        <v>0.1</v>
      </c>
      <c r="L7">
        <v>0.59</v>
      </c>
      <c r="M7">
        <v>0</v>
      </c>
      <c r="N7">
        <v>-7.7999999999999996E-3</v>
      </c>
      <c r="O7">
        <v>0</v>
      </c>
      <c r="P7">
        <v>0</v>
      </c>
      <c r="Q7">
        <v>0.4</v>
      </c>
      <c r="R7">
        <v>1.73</v>
      </c>
      <c r="S7">
        <v>1.7999999999999999E-2</v>
      </c>
      <c r="T7">
        <v>1.536</v>
      </c>
      <c r="U7">
        <v>-1.4200000000000001E-2</v>
      </c>
      <c r="V7">
        <v>-0.13</v>
      </c>
      <c r="W7">
        <v>0</v>
      </c>
      <c r="X7">
        <v>0</v>
      </c>
      <c r="Y7">
        <v>0</v>
      </c>
      <c r="Z7">
        <v>-0.311</v>
      </c>
      <c r="AA7">
        <v>0</v>
      </c>
      <c r="AB7">
        <v>7.3450000000000001E-2</v>
      </c>
      <c r="AC7">
        <v>-2.3380000000000001E-2</v>
      </c>
      <c r="AD7">
        <v>-0.22336</v>
      </c>
      <c r="AE7">
        <v>-0.1095</v>
      </c>
      <c r="AF7">
        <v>0</v>
      </c>
      <c r="AG7">
        <v>2.2000000000000001E-4</v>
      </c>
      <c r="AH7">
        <v>3.8500000000000001E-3</v>
      </c>
      <c r="AI7">
        <v>-1.58E-3</v>
      </c>
      <c r="AJ7">
        <v>1.3699999999999999E-3</v>
      </c>
      <c r="AK7">
        <v>4.6999999999999999E-4</v>
      </c>
      <c r="AL7">
        <v>8.0599999999999995E-3</v>
      </c>
      <c r="AM7">
        <v>0</v>
      </c>
      <c r="AN7">
        <v>2.7511100000000002</v>
      </c>
      <c r="AO7">
        <v>3.8450199999999999</v>
      </c>
      <c r="AP7">
        <v>5.0966899999999997</v>
      </c>
      <c r="AQ7">
        <v>3.9856099999999999</v>
      </c>
      <c r="AR7">
        <v>4.3705100000000003</v>
      </c>
      <c r="AS7">
        <v>2.96557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0.64107000000000003</v>
      </c>
      <c r="BC7">
        <v>0.65003999999999995</v>
      </c>
      <c r="BE7">
        <f t="shared" si="0"/>
        <v>1.536</v>
      </c>
      <c r="BF7">
        <f t="shared" si="0"/>
        <v>1.2250000000000001</v>
      </c>
      <c r="BG7">
        <f t="shared" si="0"/>
        <v>1.536</v>
      </c>
      <c r="BH7">
        <f t="shared" si="0"/>
        <v>1.60945</v>
      </c>
      <c r="BI7">
        <f t="shared" si="0"/>
        <v>1.5126200000000001</v>
      </c>
      <c r="BJ7">
        <f t="shared" si="0"/>
        <v>1.31264</v>
      </c>
      <c r="BK7">
        <f t="shared" si="0"/>
        <v>1.4265000000000001</v>
      </c>
      <c r="BL7">
        <f t="shared" si="4"/>
        <v>-7.7999999999999996E-3</v>
      </c>
      <c r="BM7">
        <f t="shared" si="1"/>
        <v>-7.5799999999999999E-3</v>
      </c>
      <c r="BN7">
        <f t="shared" si="1"/>
        <v>-3.9499999999999995E-3</v>
      </c>
      <c r="BO7">
        <f t="shared" si="1"/>
        <v>-9.3799999999999994E-3</v>
      </c>
      <c r="BP7">
        <f t="shared" si="1"/>
        <v>-6.43E-3</v>
      </c>
      <c r="BQ7">
        <f t="shared" si="1"/>
        <v>-7.3299999999999997E-3</v>
      </c>
      <c r="BR7">
        <f t="shared" si="1"/>
        <v>2.5999999999999981E-4</v>
      </c>
      <c r="BS7">
        <f t="shared" si="5"/>
        <v>0</v>
      </c>
      <c r="BT7">
        <f t="shared" si="2"/>
        <v>2.7511100000000002</v>
      </c>
      <c r="BU7">
        <f t="shared" si="2"/>
        <v>3.8450199999999999</v>
      </c>
      <c r="BV7">
        <f t="shared" si="2"/>
        <v>5.0966899999999997</v>
      </c>
      <c r="BW7">
        <f t="shared" si="2"/>
        <v>3.9856099999999999</v>
      </c>
      <c r="BX7">
        <f t="shared" si="2"/>
        <v>4.3705100000000003</v>
      </c>
      <c r="BY7">
        <f t="shared" si="2"/>
        <v>2.96557</v>
      </c>
      <c r="CA7">
        <f t="shared" si="6"/>
        <v>-0.19978000000000007</v>
      </c>
      <c r="CD7">
        <f t="shared" si="7"/>
        <v>-0.19978000000000007</v>
      </c>
      <c r="CE7">
        <f t="shared" si="8"/>
        <v>-0.51078000000000001</v>
      </c>
      <c r="CF7">
        <f t="shared" si="9"/>
        <v>-0.19978000000000007</v>
      </c>
      <c r="CG7">
        <f t="shared" si="10"/>
        <v>-0.12633000000000005</v>
      </c>
      <c r="CH7">
        <f t="shared" si="11"/>
        <v>-0.22316000000000003</v>
      </c>
      <c r="CI7">
        <f t="shared" si="12"/>
        <v>-0.42314000000000007</v>
      </c>
      <c r="CJ7">
        <f t="shared" si="12"/>
        <v>-0.30928</v>
      </c>
    </row>
    <row r="8" spans="2:88" x14ac:dyDescent="0.15">
      <c r="B8">
        <v>0.1</v>
      </c>
      <c r="C8">
        <v>8.1999999999999993</v>
      </c>
      <c r="D8">
        <v>1032.5</v>
      </c>
      <c r="E8">
        <v>-1.6240000000000001</v>
      </c>
      <c r="F8">
        <v>1.18</v>
      </c>
      <c r="G8">
        <v>1.88</v>
      </c>
      <c r="H8">
        <v>10</v>
      </c>
      <c r="I8">
        <v>0</v>
      </c>
      <c r="J8">
        <v>-1.07</v>
      </c>
      <c r="K8">
        <v>0.1</v>
      </c>
      <c r="L8">
        <v>0.59</v>
      </c>
      <c r="M8">
        <v>0</v>
      </c>
      <c r="N8">
        <v>-7.7000000000000002E-3</v>
      </c>
      <c r="O8">
        <v>0</v>
      </c>
      <c r="P8">
        <v>0</v>
      </c>
      <c r="Q8">
        <v>0.4</v>
      </c>
      <c r="R8">
        <v>1.73</v>
      </c>
      <c r="S8">
        <v>1.7999999999999999E-2</v>
      </c>
      <c r="T8">
        <v>1.6459999999999999</v>
      </c>
      <c r="U8">
        <v>-1.4500000000000001E-2</v>
      </c>
      <c r="V8">
        <v>-0.13</v>
      </c>
      <c r="W8">
        <v>0</v>
      </c>
      <c r="X8">
        <v>0</v>
      </c>
      <c r="Y8">
        <v>0</v>
      </c>
      <c r="Z8">
        <v>-0.189</v>
      </c>
      <c r="AA8">
        <v>0</v>
      </c>
      <c r="AB8">
        <v>4.5690000000000001E-2</v>
      </c>
      <c r="AC8">
        <v>2.2440000000000002E-2</v>
      </c>
      <c r="AD8">
        <v>-0.23896999999999999</v>
      </c>
      <c r="AE8">
        <v>-4.4159999999999998E-2</v>
      </c>
      <c r="AF8">
        <v>0</v>
      </c>
      <c r="AG8">
        <v>-1.8000000000000001E-4</v>
      </c>
      <c r="AH8">
        <v>3.7399999999999998E-3</v>
      </c>
      <c r="AI8">
        <v>-1.5E-3</v>
      </c>
      <c r="AJ8">
        <v>1.2800000000000001E-3</v>
      </c>
      <c r="AK8">
        <v>3.8000000000000002E-4</v>
      </c>
      <c r="AL8">
        <v>7.9500000000000005E-3</v>
      </c>
      <c r="AM8">
        <v>0</v>
      </c>
      <c r="AN8">
        <v>3.0194299999999998</v>
      </c>
      <c r="AO8">
        <v>3.92435</v>
      </c>
      <c r="AP8">
        <v>5.17563</v>
      </c>
      <c r="AQ8">
        <v>4.1425200000000002</v>
      </c>
      <c r="AR8">
        <v>4.4869300000000001</v>
      </c>
      <c r="AS8">
        <v>3.1735000000000002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0.66639999999999999</v>
      </c>
      <c r="BC8">
        <v>0.62966999999999995</v>
      </c>
      <c r="BE8">
        <f t="shared" si="0"/>
        <v>1.6459999999999999</v>
      </c>
      <c r="BF8">
        <f t="shared" si="0"/>
        <v>1.4569999999999999</v>
      </c>
      <c r="BG8">
        <f t="shared" si="0"/>
        <v>1.6459999999999999</v>
      </c>
      <c r="BH8">
        <f t="shared" si="0"/>
        <v>1.6916899999999999</v>
      </c>
      <c r="BI8">
        <f t="shared" si="0"/>
        <v>1.6684399999999999</v>
      </c>
      <c r="BJ8">
        <f t="shared" si="0"/>
        <v>1.40703</v>
      </c>
      <c r="BK8">
        <f t="shared" si="0"/>
        <v>1.6018399999999999</v>
      </c>
      <c r="BL8">
        <f t="shared" si="4"/>
        <v>-7.7000000000000002E-3</v>
      </c>
      <c r="BM8">
        <f t="shared" si="1"/>
        <v>-7.8799999999999999E-3</v>
      </c>
      <c r="BN8">
        <f t="shared" si="1"/>
        <v>-3.96E-3</v>
      </c>
      <c r="BO8">
        <f t="shared" si="1"/>
        <v>-9.1999999999999998E-3</v>
      </c>
      <c r="BP8">
        <f t="shared" si="1"/>
        <v>-6.4200000000000004E-3</v>
      </c>
      <c r="BQ8">
        <f t="shared" si="1"/>
        <v>-7.3200000000000001E-3</v>
      </c>
      <c r="BR8">
        <f t="shared" si="1"/>
        <v>2.5000000000000022E-4</v>
      </c>
      <c r="BS8">
        <f t="shared" si="5"/>
        <v>0</v>
      </c>
      <c r="BT8">
        <f t="shared" si="2"/>
        <v>3.0194299999999998</v>
      </c>
      <c r="BU8">
        <f t="shared" si="2"/>
        <v>3.92435</v>
      </c>
      <c r="BV8">
        <f t="shared" si="2"/>
        <v>5.17563</v>
      </c>
      <c r="BW8">
        <f t="shared" si="2"/>
        <v>4.1425200000000002</v>
      </c>
      <c r="BX8">
        <f t="shared" si="2"/>
        <v>4.4869300000000001</v>
      </c>
      <c r="BY8">
        <f t="shared" si="2"/>
        <v>3.1735000000000002</v>
      </c>
      <c r="CA8">
        <f t="shared" si="6"/>
        <v>-0.27032000000000012</v>
      </c>
      <c r="CD8">
        <f t="shared" si="7"/>
        <v>-0.27032000000000012</v>
      </c>
      <c r="CE8">
        <f t="shared" si="8"/>
        <v>-0.45932000000000017</v>
      </c>
      <c r="CF8">
        <f t="shared" si="9"/>
        <v>-0.27032000000000012</v>
      </c>
      <c r="CG8">
        <f t="shared" si="10"/>
        <v>-0.22463000000000011</v>
      </c>
      <c r="CH8">
        <f t="shared" si="11"/>
        <v>-0.2478800000000001</v>
      </c>
      <c r="CI8">
        <f t="shared" si="12"/>
        <v>-0.50929000000000002</v>
      </c>
      <c r="CJ8">
        <f t="shared" si="12"/>
        <v>-0.31448000000000009</v>
      </c>
    </row>
    <row r="9" spans="2:88" x14ac:dyDescent="0.15">
      <c r="B9">
        <v>0.15</v>
      </c>
      <c r="C9">
        <v>8.1999999999999993</v>
      </c>
      <c r="D9">
        <v>877.6</v>
      </c>
      <c r="E9">
        <v>-1.931</v>
      </c>
      <c r="F9">
        <v>1.18</v>
      </c>
      <c r="G9">
        <v>1.88</v>
      </c>
      <c r="H9">
        <v>10</v>
      </c>
      <c r="I9">
        <v>0</v>
      </c>
      <c r="J9">
        <v>-1.044</v>
      </c>
      <c r="K9">
        <v>0.1</v>
      </c>
      <c r="L9">
        <v>0.59</v>
      </c>
      <c r="M9">
        <v>0</v>
      </c>
      <c r="N9">
        <v>-7.4000000000000003E-3</v>
      </c>
      <c r="O9">
        <v>0</v>
      </c>
      <c r="P9">
        <v>0</v>
      </c>
      <c r="Q9">
        <v>0.4</v>
      </c>
      <c r="R9">
        <v>1.73</v>
      </c>
      <c r="S9">
        <v>1.7500000000000002E-2</v>
      </c>
      <c r="T9">
        <v>1.8260000000000001</v>
      </c>
      <c r="U9">
        <v>-1.5299999999999999E-2</v>
      </c>
      <c r="V9">
        <v>-0.156</v>
      </c>
      <c r="W9">
        <v>0</v>
      </c>
      <c r="X9">
        <v>0</v>
      </c>
      <c r="Y9">
        <v>0</v>
      </c>
      <c r="Z9">
        <v>2.3E-2</v>
      </c>
      <c r="AA9">
        <v>0</v>
      </c>
      <c r="AB9">
        <v>-6.173E-2</v>
      </c>
      <c r="AC9">
        <v>0.16274</v>
      </c>
      <c r="AD9">
        <v>-8.1470000000000001E-2</v>
      </c>
      <c r="AE9">
        <v>7.3029999999999998E-2</v>
      </c>
      <c r="AF9">
        <v>0</v>
      </c>
      <c r="AG9">
        <v>-8.9999999999999998E-4</v>
      </c>
      <c r="AH9">
        <v>3.1800000000000001E-3</v>
      </c>
      <c r="AI9">
        <v>-1.25E-3</v>
      </c>
      <c r="AJ9">
        <v>1.2099999999999999E-3</v>
      </c>
      <c r="AK9">
        <v>3.8999999999999999E-4</v>
      </c>
      <c r="AL9">
        <v>7.1199999999999996E-3</v>
      </c>
      <c r="AM9">
        <v>0</v>
      </c>
      <c r="AN9">
        <v>3.3486699999999998</v>
      </c>
      <c r="AO9">
        <v>3.91561</v>
      </c>
      <c r="AP9">
        <v>4.9098300000000004</v>
      </c>
      <c r="AQ9">
        <v>4.2969499999999998</v>
      </c>
      <c r="AR9">
        <v>4.5638100000000001</v>
      </c>
      <c r="AS9">
        <v>3.39419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0.67467999999999995</v>
      </c>
      <c r="BC9">
        <v>0.56767999999999996</v>
      </c>
      <c r="BE9">
        <f t="shared" si="0"/>
        <v>1.8260000000000001</v>
      </c>
      <c r="BF9">
        <f t="shared" si="0"/>
        <v>1.849</v>
      </c>
      <c r="BG9">
        <f t="shared" si="0"/>
        <v>1.8260000000000001</v>
      </c>
      <c r="BH9">
        <f t="shared" si="0"/>
        <v>1.76427</v>
      </c>
      <c r="BI9">
        <f t="shared" si="0"/>
        <v>1.98874</v>
      </c>
      <c r="BJ9">
        <f t="shared" si="0"/>
        <v>1.7445300000000001</v>
      </c>
      <c r="BK9">
        <f t="shared" si="0"/>
        <v>1.89903</v>
      </c>
      <c r="BL9">
        <f t="shared" si="4"/>
        <v>-7.4000000000000003E-3</v>
      </c>
      <c r="BM9">
        <f t="shared" si="1"/>
        <v>-8.3000000000000001E-3</v>
      </c>
      <c r="BN9">
        <f t="shared" si="1"/>
        <v>-4.2199999999999998E-3</v>
      </c>
      <c r="BO9">
        <f t="shared" si="1"/>
        <v>-8.6499999999999997E-3</v>
      </c>
      <c r="BP9">
        <f t="shared" si="1"/>
        <v>-6.1900000000000002E-3</v>
      </c>
      <c r="BQ9">
        <f t="shared" si="1"/>
        <v>-7.0100000000000006E-3</v>
      </c>
      <c r="BR9">
        <f t="shared" si="1"/>
        <v>-2.8000000000000073E-4</v>
      </c>
      <c r="BS9">
        <f t="shared" si="5"/>
        <v>0</v>
      </c>
      <c r="BT9">
        <f t="shared" si="2"/>
        <v>3.3486699999999998</v>
      </c>
      <c r="BU9">
        <f t="shared" si="2"/>
        <v>3.91561</v>
      </c>
      <c r="BV9">
        <f t="shared" si="2"/>
        <v>4.9098300000000004</v>
      </c>
      <c r="BW9">
        <f t="shared" si="2"/>
        <v>4.2969499999999998</v>
      </c>
      <c r="BX9">
        <f t="shared" si="2"/>
        <v>4.5638100000000001</v>
      </c>
      <c r="BY9">
        <f t="shared" si="2"/>
        <v>3.39419</v>
      </c>
      <c r="CA9">
        <f t="shared" si="6"/>
        <v>-0.45257999999999976</v>
      </c>
      <c r="CD9">
        <f t="shared" si="7"/>
        <v>-0.45257999999999976</v>
      </c>
      <c r="CE9">
        <f t="shared" si="8"/>
        <v>-0.42957999999999985</v>
      </c>
      <c r="CF9">
        <f t="shared" si="9"/>
        <v>-0.45257999999999976</v>
      </c>
      <c r="CG9">
        <f t="shared" si="10"/>
        <v>-0.51430999999999982</v>
      </c>
      <c r="CH9">
        <f t="shared" si="11"/>
        <v>-0.28983999999999988</v>
      </c>
      <c r="CI9">
        <f t="shared" si="12"/>
        <v>-0.53404999999999969</v>
      </c>
      <c r="CJ9">
        <f t="shared" si="12"/>
        <v>-0.37954999999999983</v>
      </c>
    </row>
    <row r="10" spans="2:88" x14ac:dyDescent="0.15">
      <c r="B10">
        <v>0.2</v>
      </c>
      <c r="C10">
        <v>8.1999999999999993</v>
      </c>
      <c r="D10">
        <v>748.2</v>
      </c>
      <c r="E10">
        <v>-2.1880000000000002</v>
      </c>
      <c r="F10">
        <v>1.18</v>
      </c>
      <c r="G10">
        <v>1.88</v>
      </c>
      <c r="H10">
        <v>10</v>
      </c>
      <c r="I10">
        <v>0</v>
      </c>
      <c r="J10">
        <v>-0.98699999999999999</v>
      </c>
      <c r="K10">
        <v>0.1</v>
      </c>
      <c r="L10">
        <v>0.62</v>
      </c>
      <c r="M10">
        <v>0</v>
      </c>
      <c r="N10">
        <v>-7.1999999999999998E-3</v>
      </c>
      <c r="O10">
        <v>0</v>
      </c>
      <c r="P10">
        <v>0</v>
      </c>
      <c r="Q10">
        <v>0.4</v>
      </c>
      <c r="R10">
        <v>1.73</v>
      </c>
      <c r="S10">
        <v>1.7000000000000001E-2</v>
      </c>
      <c r="T10">
        <v>1.998</v>
      </c>
      <c r="U10">
        <v>-1.6199999999999999E-2</v>
      </c>
      <c r="V10">
        <v>-0.17199999999999999</v>
      </c>
      <c r="W10">
        <v>0</v>
      </c>
      <c r="X10">
        <v>0</v>
      </c>
      <c r="Y10">
        <v>0</v>
      </c>
      <c r="Z10">
        <v>8.4000000000000005E-2</v>
      </c>
      <c r="AA10">
        <v>0</v>
      </c>
      <c r="AB10">
        <v>-0.11608</v>
      </c>
      <c r="AC10">
        <v>0.24587999999999999</v>
      </c>
      <c r="AD10">
        <v>5.8439999999999999E-2</v>
      </c>
      <c r="AE10">
        <v>0.13722000000000001</v>
      </c>
      <c r="AF10">
        <v>0</v>
      </c>
      <c r="AG10">
        <v>-1.15E-3</v>
      </c>
      <c r="AH10">
        <v>5.2199999999999998E-3</v>
      </c>
      <c r="AI10">
        <v>-1.1800000000000001E-3</v>
      </c>
      <c r="AJ10">
        <v>1.17E-3</v>
      </c>
      <c r="AK10">
        <v>3.1E-4</v>
      </c>
      <c r="AL10">
        <v>6.3299999999999997E-3</v>
      </c>
      <c r="AM10">
        <v>0</v>
      </c>
      <c r="AN10">
        <v>3.2839700000000001</v>
      </c>
      <c r="AO10">
        <v>3.5699900000000002</v>
      </c>
      <c r="AP10">
        <v>4.5761000000000003</v>
      </c>
      <c r="AQ10">
        <v>4.2280300000000004</v>
      </c>
      <c r="AR10">
        <v>4.4207400000000003</v>
      </c>
      <c r="AS10">
        <v>3.3693599999999999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0.66676000000000002</v>
      </c>
      <c r="BC10">
        <v>0.52015999999999996</v>
      </c>
      <c r="BE10">
        <f t="shared" si="0"/>
        <v>1.998</v>
      </c>
      <c r="BF10">
        <f t="shared" si="0"/>
        <v>2.0819999999999999</v>
      </c>
      <c r="BG10">
        <f t="shared" si="0"/>
        <v>1.998</v>
      </c>
      <c r="BH10">
        <f t="shared" si="0"/>
        <v>1.88192</v>
      </c>
      <c r="BI10">
        <f t="shared" si="0"/>
        <v>2.2438799999999999</v>
      </c>
      <c r="BJ10">
        <f t="shared" si="0"/>
        <v>2.0564399999999998</v>
      </c>
      <c r="BK10">
        <f t="shared" si="0"/>
        <v>2.1352199999999999</v>
      </c>
      <c r="BL10">
        <f t="shared" si="4"/>
        <v>-7.1999999999999998E-3</v>
      </c>
      <c r="BM10">
        <f t="shared" si="1"/>
        <v>-8.3499999999999998E-3</v>
      </c>
      <c r="BN10">
        <f t="shared" si="1"/>
        <v>-1.98E-3</v>
      </c>
      <c r="BO10">
        <f t="shared" si="1"/>
        <v>-8.3800000000000003E-3</v>
      </c>
      <c r="BP10">
        <f t="shared" si="1"/>
        <v>-6.0299999999999998E-3</v>
      </c>
      <c r="BQ10">
        <f t="shared" si="1"/>
        <v>-6.8899999999999994E-3</v>
      </c>
      <c r="BR10">
        <f t="shared" si="1"/>
        <v>-8.7000000000000011E-4</v>
      </c>
      <c r="BS10">
        <f t="shared" si="5"/>
        <v>0</v>
      </c>
      <c r="BT10">
        <f t="shared" si="2"/>
        <v>3.2839700000000001</v>
      </c>
      <c r="BU10">
        <f t="shared" si="2"/>
        <v>3.5699900000000002</v>
      </c>
      <c r="BV10">
        <f t="shared" si="2"/>
        <v>4.5761000000000003</v>
      </c>
      <c r="BW10">
        <f t="shared" si="2"/>
        <v>4.2280300000000004</v>
      </c>
      <c r="BX10">
        <f t="shared" si="2"/>
        <v>4.4207400000000003</v>
      </c>
      <c r="BY10">
        <f t="shared" si="2"/>
        <v>3.3693599999999999</v>
      </c>
      <c r="CA10">
        <f t="shared" si="6"/>
        <v>-0.58384000000000014</v>
      </c>
      <c r="CD10">
        <f t="shared" si="7"/>
        <v>-0.58384000000000014</v>
      </c>
      <c r="CE10">
        <f t="shared" si="8"/>
        <v>-0.49984000000000028</v>
      </c>
      <c r="CF10">
        <f t="shared" si="9"/>
        <v>-0.58384000000000014</v>
      </c>
      <c r="CG10">
        <f t="shared" si="10"/>
        <v>-0.6999200000000001</v>
      </c>
      <c r="CH10">
        <f t="shared" si="11"/>
        <v>-0.33796000000000026</v>
      </c>
      <c r="CI10">
        <f t="shared" si="12"/>
        <v>-0.52540000000000031</v>
      </c>
      <c r="CJ10">
        <f t="shared" si="12"/>
        <v>-0.44662000000000024</v>
      </c>
    </row>
    <row r="11" spans="2:88" x14ac:dyDescent="0.15">
      <c r="B11">
        <v>0.25</v>
      </c>
      <c r="C11">
        <v>8.1999999999999993</v>
      </c>
      <c r="D11">
        <v>654.29999999999995</v>
      </c>
      <c r="E11">
        <v>-2.3809999999999998</v>
      </c>
      <c r="F11">
        <v>1.18</v>
      </c>
      <c r="G11">
        <v>1.88</v>
      </c>
      <c r="H11">
        <v>10</v>
      </c>
      <c r="I11">
        <v>0</v>
      </c>
      <c r="J11">
        <v>-0.94299999999999995</v>
      </c>
      <c r="K11">
        <v>0.1</v>
      </c>
      <c r="L11">
        <v>0.64</v>
      </c>
      <c r="M11">
        <v>0</v>
      </c>
      <c r="N11">
        <v>-7.0000000000000001E-3</v>
      </c>
      <c r="O11">
        <v>0</v>
      </c>
      <c r="P11">
        <v>0</v>
      </c>
      <c r="Q11">
        <v>0.4</v>
      </c>
      <c r="R11">
        <v>1.73</v>
      </c>
      <c r="S11">
        <v>1.6E-2</v>
      </c>
      <c r="T11">
        <v>2.157</v>
      </c>
      <c r="U11">
        <v>-1.72E-2</v>
      </c>
      <c r="V11">
        <v>-0.184</v>
      </c>
      <c r="W11">
        <v>0</v>
      </c>
      <c r="X11">
        <v>0</v>
      </c>
      <c r="Y11">
        <v>0</v>
      </c>
      <c r="Z11">
        <v>8.3000000000000004E-2</v>
      </c>
      <c r="AA11">
        <v>0</v>
      </c>
      <c r="AB11">
        <v>-0.14310999999999999</v>
      </c>
      <c r="AC11">
        <v>0.25037999999999999</v>
      </c>
      <c r="AD11">
        <v>0.16597999999999999</v>
      </c>
      <c r="AE11">
        <v>0.19023999999999999</v>
      </c>
      <c r="AF11">
        <v>0</v>
      </c>
      <c r="AG11">
        <v>-1.3500000000000001E-3</v>
      </c>
      <c r="AH11">
        <v>2.97E-3</v>
      </c>
      <c r="AI11">
        <v>-1.1000000000000001E-3</v>
      </c>
      <c r="AJ11">
        <v>1.1900000000000001E-3</v>
      </c>
      <c r="AK11">
        <v>6.8999999999999997E-4</v>
      </c>
      <c r="AL11">
        <v>5.8399999999999997E-3</v>
      </c>
      <c r="AM11">
        <v>0</v>
      </c>
      <c r="AN11">
        <v>3.2113100000000001</v>
      </c>
      <c r="AO11">
        <v>3.5467499999999998</v>
      </c>
      <c r="AP11">
        <v>4.3215199999999996</v>
      </c>
      <c r="AQ11">
        <v>4.0674200000000003</v>
      </c>
      <c r="AR11">
        <v>4.1910299999999996</v>
      </c>
      <c r="AS11">
        <v>3.3044199999999999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0.65676999999999996</v>
      </c>
      <c r="BC11">
        <v>0.49502000000000002</v>
      </c>
      <c r="BE11">
        <f t="shared" si="0"/>
        <v>2.157</v>
      </c>
      <c r="BF11">
        <f t="shared" si="0"/>
        <v>2.2400000000000002</v>
      </c>
      <c r="BG11">
        <f t="shared" si="0"/>
        <v>2.157</v>
      </c>
      <c r="BH11">
        <f t="shared" si="0"/>
        <v>2.01389</v>
      </c>
      <c r="BI11">
        <f t="shared" si="0"/>
        <v>2.4073799999999999</v>
      </c>
      <c r="BJ11">
        <f t="shared" si="0"/>
        <v>2.3229799999999998</v>
      </c>
      <c r="BK11">
        <f t="shared" si="0"/>
        <v>2.3472400000000002</v>
      </c>
      <c r="BL11">
        <f t="shared" si="4"/>
        <v>-7.0000000000000001E-3</v>
      </c>
      <c r="BM11">
        <f t="shared" si="1"/>
        <v>-8.3499999999999998E-3</v>
      </c>
      <c r="BN11">
        <f t="shared" si="1"/>
        <v>-4.0300000000000006E-3</v>
      </c>
      <c r="BO11">
        <f t="shared" si="1"/>
        <v>-8.0999999999999996E-3</v>
      </c>
      <c r="BP11">
        <f t="shared" si="1"/>
        <v>-5.8100000000000001E-3</v>
      </c>
      <c r="BQ11">
        <f t="shared" si="1"/>
        <v>-6.3100000000000005E-3</v>
      </c>
      <c r="BR11">
        <f t="shared" si="1"/>
        <v>-1.1600000000000004E-3</v>
      </c>
      <c r="BS11">
        <f t="shared" si="5"/>
        <v>0</v>
      </c>
      <c r="BT11">
        <f t="shared" si="2"/>
        <v>3.2113100000000001</v>
      </c>
      <c r="BU11">
        <f t="shared" si="2"/>
        <v>3.5467499999999998</v>
      </c>
      <c r="BV11">
        <f t="shared" si="2"/>
        <v>4.3215199999999996</v>
      </c>
      <c r="BW11">
        <f t="shared" si="2"/>
        <v>4.0674200000000003</v>
      </c>
      <c r="BX11">
        <f t="shared" si="2"/>
        <v>4.1910299999999996</v>
      </c>
      <c r="BY11">
        <f t="shared" si="2"/>
        <v>3.3044199999999999</v>
      </c>
      <c r="CA11">
        <f t="shared" si="6"/>
        <v>-0.65257999999999949</v>
      </c>
      <c r="CD11">
        <f t="shared" si="7"/>
        <v>-0.65257999999999949</v>
      </c>
      <c r="CE11">
        <f t="shared" si="8"/>
        <v>-0.56957999999999931</v>
      </c>
      <c r="CF11">
        <f t="shared" si="9"/>
        <v>-0.65257999999999949</v>
      </c>
      <c r="CG11">
        <f t="shared" si="10"/>
        <v>-0.79568999999999956</v>
      </c>
      <c r="CH11">
        <f t="shared" si="11"/>
        <v>-0.40219999999999967</v>
      </c>
      <c r="CI11">
        <f t="shared" si="12"/>
        <v>-0.4865999999999997</v>
      </c>
      <c r="CJ11">
        <f t="shared" si="12"/>
        <v>-0.46233999999999931</v>
      </c>
    </row>
    <row r="12" spans="2:88" x14ac:dyDescent="0.15">
      <c r="B12">
        <v>0.3</v>
      </c>
      <c r="C12">
        <v>8.1999999999999993</v>
      </c>
      <c r="D12">
        <v>587.1</v>
      </c>
      <c r="E12">
        <v>-2.5179999999999998</v>
      </c>
      <c r="F12">
        <v>1.18</v>
      </c>
      <c r="G12">
        <v>1.88</v>
      </c>
      <c r="H12">
        <v>10</v>
      </c>
      <c r="I12">
        <v>0</v>
      </c>
      <c r="J12">
        <v>-0.90700000000000003</v>
      </c>
      <c r="K12">
        <v>0.1</v>
      </c>
      <c r="L12">
        <v>0.66</v>
      </c>
      <c r="M12">
        <v>0</v>
      </c>
      <c r="N12">
        <v>-6.7999999999999996E-3</v>
      </c>
      <c r="O12">
        <v>0</v>
      </c>
      <c r="P12">
        <v>0</v>
      </c>
      <c r="Q12">
        <v>0.4</v>
      </c>
      <c r="R12">
        <v>1.73</v>
      </c>
      <c r="S12">
        <v>1.52E-2</v>
      </c>
      <c r="T12">
        <v>2.266</v>
      </c>
      <c r="U12">
        <v>-1.83E-2</v>
      </c>
      <c r="V12">
        <v>-0.19400000000000001</v>
      </c>
      <c r="W12">
        <v>0</v>
      </c>
      <c r="X12">
        <v>0</v>
      </c>
      <c r="Y12">
        <v>0</v>
      </c>
      <c r="Z12">
        <v>7.4999999999999997E-2</v>
      </c>
      <c r="AA12">
        <v>0</v>
      </c>
      <c r="AB12">
        <v>-0.17033000000000001</v>
      </c>
      <c r="AC12">
        <v>0.22556999999999999</v>
      </c>
      <c r="AD12">
        <v>0.30538999999999999</v>
      </c>
      <c r="AE12">
        <v>0.21390000000000001</v>
      </c>
      <c r="AF12">
        <v>0</v>
      </c>
      <c r="AG12">
        <v>-1.48E-3</v>
      </c>
      <c r="AH12">
        <v>4.5799999999999999E-3</v>
      </c>
      <c r="AI12">
        <v>-1.1100000000000001E-3</v>
      </c>
      <c r="AJ12">
        <v>7.5000000000000002E-4</v>
      </c>
      <c r="AK12">
        <v>8.8999999999999995E-4</v>
      </c>
      <c r="AL12">
        <v>5.2700000000000004E-3</v>
      </c>
      <c r="AM12">
        <v>0</v>
      </c>
      <c r="AN12">
        <v>3.1454800000000001</v>
      </c>
      <c r="AO12">
        <v>3.3401200000000002</v>
      </c>
      <c r="AP12">
        <v>4.1156899999999998</v>
      </c>
      <c r="AQ12">
        <v>3.9437199999999999</v>
      </c>
      <c r="AR12">
        <v>4.0035400000000001</v>
      </c>
      <c r="AS12">
        <v>3.2735300000000001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0.63929000000000002</v>
      </c>
      <c r="BC12">
        <v>0.48504999999999998</v>
      </c>
      <c r="BE12">
        <f t="shared" si="0"/>
        <v>2.266</v>
      </c>
      <c r="BF12">
        <f t="shared" si="0"/>
        <v>2.3410000000000002</v>
      </c>
      <c r="BG12">
        <f t="shared" si="0"/>
        <v>2.266</v>
      </c>
      <c r="BH12">
        <f t="shared" si="0"/>
        <v>2.0956700000000001</v>
      </c>
      <c r="BI12">
        <f t="shared" si="0"/>
        <v>2.4915699999999998</v>
      </c>
      <c r="BJ12">
        <f t="shared" si="0"/>
        <v>2.5713900000000001</v>
      </c>
      <c r="BK12">
        <f t="shared" si="0"/>
        <v>2.4799000000000002</v>
      </c>
      <c r="BL12">
        <f t="shared" si="4"/>
        <v>-6.7999999999999996E-3</v>
      </c>
      <c r="BM12">
        <f t="shared" si="1"/>
        <v>-8.2799999999999992E-3</v>
      </c>
      <c r="BN12">
        <f t="shared" si="1"/>
        <v>-2.2199999999999998E-3</v>
      </c>
      <c r="BO12">
        <f t="shared" si="1"/>
        <v>-7.9100000000000004E-3</v>
      </c>
      <c r="BP12">
        <f t="shared" si="1"/>
        <v>-6.0499999999999998E-3</v>
      </c>
      <c r="BQ12">
        <f t="shared" si="1"/>
        <v>-5.9099999999999995E-3</v>
      </c>
      <c r="BR12">
        <f t="shared" si="1"/>
        <v>-1.5299999999999992E-3</v>
      </c>
      <c r="BS12">
        <f t="shared" si="5"/>
        <v>0</v>
      </c>
      <c r="BT12">
        <f t="shared" si="2"/>
        <v>3.1454800000000001</v>
      </c>
      <c r="BU12">
        <f t="shared" si="2"/>
        <v>3.3401200000000002</v>
      </c>
      <c r="BV12">
        <f t="shared" si="2"/>
        <v>4.1156899999999998</v>
      </c>
      <c r="BW12">
        <f t="shared" si="2"/>
        <v>3.9437199999999999</v>
      </c>
      <c r="BX12">
        <f t="shared" si="2"/>
        <v>4.0035400000000001</v>
      </c>
      <c r="BY12">
        <f t="shared" si="2"/>
        <v>3.2735300000000001</v>
      </c>
      <c r="CA12">
        <f t="shared" si="6"/>
        <v>-0.70523999999999942</v>
      </c>
      <c r="CD12">
        <f t="shared" si="7"/>
        <v>-0.70523999999999942</v>
      </c>
      <c r="CE12">
        <f t="shared" si="8"/>
        <v>-0.63023999999999925</v>
      </c>
      <c r="CF12">
        <f t="shared" si="9"/>
        <v>-0.70523999999999942</v>
      </c>
      <c r="CG12">
        <f t="shared" si="10"/>
        <v>-0.87556999999999929</v>
      </c>
      <c r="CH12">
        <f t="shared" si="11"/>
        <v>-0.4796699999999996</v>
      </c>
      <c r="CI12">
        <f t="shared" si="12"/>
        <v>-0.39984999999999937</v>
      </c>
      <c r="CJ12">
        <f t="shared" si="12"/>
        <v>-0.49133999999999922</v>
      </c>
    </row>
    <row r="13" spans="2:88" x14ac:dyDescent="0.15">
      <c r="B13">
        <v>0.4</v>
      </c>
      <c r="C13">
        <v>8.1999999999999993</v>
      </c>
      <c r="D13">
        <v>503</v>
      </c>
      <c r="E13">
        <v>-2.657</v>
      </c>
      <c r="F13">
        <v>1.18</v>
      </c>
      <c r="G13">
        <v>1.88</v>
      </c>
      <c r="H13">
        <v>10</v>
      </c>
      <c r="I13">
        <v>0</v>
      </c>
      <c r="J13">
        <v>-0.85</v>
      </c>
      <c r="K13">
        <v>0.1</v>
      </c>
      <c r="L13">
        <v>0.68</v>
      </c>
      <c r="M13">
        <v>0</v>
      </c>
      <c r="N13">
        <v>-6.4000000000000003E-3</v>
      </c>
      <c r="O13">
        <v>0</v>
      </c>
      <c r="P13">
        <v>0</v>
      </c>
      <c r="Q13">
        <v>0.4</v>
      </c>
      <c r="R13">
        <v>1.73</v>
      </c>
      <c r="S13">
        <v>1.4E-2</v>
      </c>
      <c r="T13">
        <v>2.36</v>
      </c>
      <c r="U13">
        <v>-2.06E-2</v>
      </c>
      <c r="V13">
        <v>-0.21</v>
      </c>
      <c r="W13">
        <v>0</v>
      </c>
      <c r="X13">
        <v>0</v>
      </c>
      <c r="Y13">
        <v>0</v>
      </c>
      <c r="Z13">
        <v>5.5E-2</v>
      </c>
      <c r="AA13">
        <v>0</v>
      </c>
      <c r="AB13">
        <v>-0.14964</v>
      </c>
      <c r="AC13">
        <v>0.22564000000000001</v>
      </c>
      <c r="AD13">
        <v>0.43107000000000001</v>
      </c>
      <c r="AE13">
        <v>0.21364</v>
      </c>
      <c r="AF13">
        <v>0</v>
      </c>
      <c r="AG13">
        <v>-1.57E-3</v>
      </c>
      <c r="AH13">
        <v>2.3800000000000002E-3</v>
      </c>
      <c r="AI13">
        <v>-8.0999999999999996E-4</v>
      </c>
      <c r="AJ13">
        <v>2.9999999999999997E-4</v>
      </c>
      <c r="AK13">
        <v>1.23E-3</v>
      </c>
      <c r="AL13">
        <v>5.2599999999999999E-3</v>
      </c>
      <c r="AM13">
        <v>0</v>
      </c>
      <c r="AN13">
        <v>2.9965600000000001</v>
      </c>
      <c r="AO13">
        <v>3.2327499999999998</v>
      </c>
      <c r="AP13">
        <v>3.7158799999999998</v>
      </c>
      <c r="AQ13">
        <v>3.6871200000000002</v>
      </c>
      <c r="AR13">
        <v>3.6020400000000001</v>
      </c>
      <c r="AS13">
        <v>3.0516899999999998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0.61934</v>
      </c>
      <c r="BC13">
        <v>0.47138999999999998</v>
      </c>
      <c r="BE13">
        <f t="shared" si="0"/>
        <v>2.36</v>
      </c>
      <c r="BF13">
        <f t="shared" si="0"/>
        <v>2.415</v>
      </c>
      <c r="BG13">
        <f t="shared" si="0"/>
        <v>2.36</v>
      </c>
      <c r="BH13">
        <f t="shared" si="0"/>
        <v>2.2103599999999997</v>
      </c>
      <c r="BI13">
        <f t="shared" si="0"/>
        <v>2.5856399999999997</v>
      </c>
      <c r="BJ13">
        <f t="shared" si="0"/>
        <v>2.7910699999999999</v>
      </c>
      <c r="BK13">
        <f t="shared" si="0"/>
        <v>2.5736399999999997</v>
      </c>
      <c r="BL13">
        <f t="shared" si="4"/>
        <v>-6.4000000000000003E-3</v>
      </c>
      <c r="BM13">
        <f t="shared" si="1"/>
        <v>-7.9699999999999997E-3</v>
      </c>
      <c r="BN13">
        <f t="shared" si="1"/>
        <v>-4.0200000000000001E-3</v>
      </c>
      <c r="BO13">
        <f t="shared" si="1"/>
        <v>-7.2100000000000003E-3</v>
      </c>
      <c r="BP13">
        <f t="shared" si="1"/>
        <v>-6.1000000000000004E-3</v>
      </c>
      <c r="BQ13">
        <f t="shared" si="1"/>
        <v>-5.1700000000000001E-3</v>
      </c>
      <c r="BR13">
        <f t="shared" si="1"/>
        <v>-1.1400000000000004E-3</v>
      </c>
      <c r="BS13">
        <f t="shared" si="5"/>
        <v>0</v>
      </c>
      <c r="BT13">
        <f t="shared" si="2"/>
        <v>2.9965600000000001</v>
      </c>
      <c r="BU13">
        <f t="shared" si="2"/>
        <v>3.2327499999999998</v>
      </c>
      <c r="BV13">
        <f t="shared" si="2"/>
        <v>3.7158799999999998</v>
      </c>
      <c r="BW13">
        <f t="shared" si="2"/>
        <v>3.6871200000000002</v>
      </c>
      <c r="BX13">
        <f t="shared" si="2"/>
        <v>3.6020400000000001</v>
      </c>
      <c r="BY13">
        <f t="shared" si="2"/>
        <v>3.0516899999999998</v>
      </c>
      <c r="CA13">
        <f t="shared" si="6"/>
        <v>-0.77525999999999984</v>
      </c>
      <c r="CD13">
        <f t="shared" si="7"/>
        <v>-0.77525999999999984</v>
      </c>
      <c r="CE13">
        <f t="shared" si="8"/>
        <v>-0.72025999999999968</v>
      </c>
      <c r="CF13">
        <f t="shared" si="9"/>
        <v>-0.77525999999999984</v>
      </c>
      <c r="CG13">
        <f t="shared" si="10"/>
        <v>-0.92490000000000006</v>
      </c>
      <c r="CH13">
        <f t="shared" si="11"/>
        <v>-0.54962</v>
      </c>
      <c r="CI13">
        <f t="shared" si="12"/>
        <v>-0.34418999999999977</v>
      </c>
      <c r="CJ13">
        <f t="shared" si="12"/>
        <v>-0.56162000000000001</v>
      </c>
    </row>
    <row r="14" spans="2:88" x14ac:dyDescent="0.15">
      <c r="B14">
        <v>0.5</v>
      </c>
      <c r="C14">
        <v>8.1999999999999993</v>
      </c>
      <c r="D14">
        <v>456.6</v>
      </c>
      <c r="E14">
        <v>-2.669</v>
      </c>
      <c r="F14">
        <v>1.18</v>
      </c>
      <c r="G14">
        <v>1.88</v>
      </c>
      <c r="H14">
        <v>10</v>
      </c>
      <c r="I14">
        <v>0</v>
      </c>
      <c r="J14">
        <v>-0.80500000000000005</v>
      </c>
      <c r="K14">
        <v>0.1</v>
      </c>
      <c r="L14">
        <v>0.68</v>
      </c>
      <c r="M14">
        <v>0</v>
      </c>
      <c r="N14">
        <v>-6.1000000000000004E-3</v>
      </c>
      <c r="O14">
        <v>0</v>
      </c>
      <c r="P14">
        <v>0</v>
      </c>
      <c r="Q14">
        <v>0.4</v>
      </c>
      <c r="R14">
        <v>1.73</v>
      </c>
      <c r="S14">
        <v>1.2999999999999999E-2</v>
      </c>
      <c r="T14">
        <v>2.3340000000000001</v>
      </c>
      <c r="U14">
        <v>-2.3099999999999999E-2</v>
      </c>
      <c r="V14">
        <v>-0.223</v>
      </c>
      <c r="W14">
        <v>0</v>
      </c>
      <c r="X14">
        <v>0</v>
      </c>
      <c r="Y14">
        <v>0</v>
      </c>
      <c r="Z14">
        <v>2.5000000000000001E-2</v>
      </c>
      <c r="AA14">
        <v>0</v>
      </c>
      <c r="AB14">
        <v>-0.14396</v>
      </c>
      <c r="AC14">
        <v>0.23382</v>
      </c>
      <c r="AD14">
        <v>0.37207000000000001</v>
      </c>
      <c r="AE14">
        <v>0.22925999999999999</v>
      </c>
      <c r="AF14">
        <v>0</v>
      </c>
      <c r="AG14">
        <v>-1.6000000000000001E-3</v>
      </c>
      <c r="AH14">
        <v>5.9300000000000004E-3</v>
      </c>
      <c r="AI14">
        <v>-5.2999999999999998E-4</v>
      </c>
      <c r="AJ14">
        <v>3.3E-4</v>
      </c>
      <c r="AK14">
        <v>1.47E-3</v>
      </c>
      <c r="AL14">
        <v>4.6800000000000001E-3</v>
      </c>
      <c r="AM14">
        <v>0</v>
      </c>
      <c r="AN14">
        <v>2.83921</v>
      </c>
      <c r="AO14">
        <v>2.7711299999999999</v>
      </c>
      <c r="AP14">
        <v>3.3330199999999999</v>
      </c>
      <c r="AQ14">
        <v>3.3663599999999998</v>
      </c>
      <c r="AR14">
        <v>3.2596500000000002</v>
      </c>
      <c r="AS14">
        <v>2.8787500000000001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0.61516999999999999</v>
      </c>
      <c r="BC14">
        <v>0.46381</v>
      </c>
      <c r="BE14">
        <f t="shared" si="0"/>
        <v>2.3340000000000001</v>
      </c>
      <c r="BF14">
        <f t="shared" si="0"/>
        <v>2.359</v>
      </c>
      <c r="BG14">
        <f t="shared" si="0"/>
        <v>2.3340000000000001</v>
      </c>
      <c r="BH14">
        <f t="shared" si="0"/>
        <v>2.1900400000000002</v>
      </c>
      <c r="BI14">
        <f t="shared" si="0"/>
        <v>2.5678200000000002</v>
      </c>
      <c r="BJ14">
        <f t="shared" si="0"/>
        <v>2.70607</v>
      </c>
      <c r="BK14">
        <f t="shared" si="0"/>
        <v>2.5632600000000001</v>
      </c>
      <c r="BL14">
        <f t="shared" si="4"/>
        <v>-6.1000000000000004E-3</v>
      </c>
      <c r="BM14">
        <f t="shared" si="1"/>
        <v>-7.7000000000000002E-3</v>
      </c>
      <c r="BN14">
        <f t="shared" si="1"/>
        <v>-1.7000000000000001E-4</v>
      </c>
      <c r="BO14">
        <f t="shared" si="1"/>
        <v>-6.6300000000000005E-3</v>
      </c>
      <c r="BP14">
        <f t="shared" si="1"/>
        <v>-5.7700000000000008E-3</v>
      </c>
      <c r="BQ14">
        <f t="shared" si="1"/>
        <v>-4.6300000000000004E-3</v>
      </c>
      <c r="BR14">
        <f t="shared" si="1"/>
        <v>-1.4200000000000003E-3</v>
      </c>
      <c r="BS14">
        <f t="shared" si="5"/>
        <v>0</v>
      </c>
      <c r="BT14">
        <f t="shared" si="2"/>
        <v>2.83921</v>
      </c>
      <c r="BU14">
        <f t="shared" si="2"/>
        <v>2.7711299999999999</v>
      </c>
      <c r="BV14">
        <f t="shared" si="2"/>
        <v>3.3330199999999999</v>
      </c>
      <c r="BW14">
        <f t="shared" si="2"/>
        <v>3.3663599999999998</v>
      </c>
      <c r="BX14">
        <f t="shared" si="2"/>
        <v>3.2596500000000002</v>
      </c>
      <c r="BY14">
        <f t="shared" si="2"/>
        <v>2.8787500000000001</v>
      </c>
      <c r="CA14">
        <f t="shared" si="6"/>
        <v>-0.81541999999999959</v>
      </c>
      <c r="CD14">
        <f t="shared" si="7"/>
        <v>-0.81541999999999959</v>
      </c>
      <c r="CE14">
        <f t="shared" si="8"/>
        <v>-0.79041999999999968</v>
      </c>
      <c r="CF14">
        <f t="shared" si="9"/>
        <v>-0.81541999999999959</v>
      </c>
      <c r="CG14">
        <f t="shared" si="10"/>
        <v>-0.95937999999999946</v>
      </c>
      <c r="CH14">
        <f t="shared" si="11"/>
        <v>-0.58159999999999945</v>
      </c>
      <c r="CI14">
        <f t="shared" si="12"/>
        <v>-0.44334999999999969</v>
      </c>
      <c r="CJ14">
        <f t="shared" si="12"/>
        <v>-0.58615999999999957</v>
      </c>
    </row>
    <row r="15" spans="2:88" x14ac:dyDescent="0.15">
      <c r="B15">
        <v>0.6</v>
      </c>
      <c r="C15">
        <v>8.1999999999999993</v>
      </c>
      <c r="D15">
        <v>430.3</v>
      </c>
      <c r="E15">
        <v>-2.5990000000000002</v>
      </c>
      <c r="F15">
        <v>1.18</v>
      </c>
      <c r="G15">
        <v>1.88</v>
      </c>
      <c r="H15">
        <v>10</v>
      </c>
      <c r="I15">
        <v>0</v>
      </c>
      <c r="J15">
        <v>-0.76900000000000002</v>
      </c>
      <c r="K15">
        <v>0.1</v>
      </c>
      <c r="L15">
        <v>0.68</v>
      </c>
      <c r="M15">
        <v>0</v>
      </c>
      <c r="N15">
        <v>-5.7999999999999996E-3</v>
      </c>
      <c r="O15">
        <v>0</v>
      </c>
      <c r="P15">
        <v>0</v>
      </c>
      <c r="Q15">
        <v>0.4</v>
      </c>
      <c r="R15">
        <v>1.73</v>
      </c>
      <c r="S15">
        <v>1.2200000000000001E-2</v>
      </c>
      <c r="T15">
        <v>2.2170000000000001</v>
      </c>
      <c r="U15">
        <v>-2.5600000000000001E-2</v>
      </c>
      <c r="V15">
        <v>-0.23300000000000001</v>
      </c>
      <c r="W15">
        <v>0</v>
      </c>
      <c r="X15">
        <v>0</v>
      </c>
      <c r="Y15">
        <v>0</v>
      </c>
      <c r="Z15">
        <v>0.01</v>
      </c>
      <c r="AA15">
        <v>0</v>
      </c>
      <c r="AB15">
        <v>-0.13131000000000001</v>
      </c>
      <c r="AC15">
        <v>0.20358999999999999</v>
      </c>
      <c r="AD15">
        <v>0.42748000000000003</v>
      </c>
      <c r="AE15">
        <v>0.21092</v>
      </c>
      <c r="AF15">
        <v>0</v>
      </c>
      <c r="AG15">
        <v>-1.6000000000000001E-3</v>
      </c>
      <c r="AH15">
        <v>4.5399999999999998E-3</v>
      </c>
      <c r="AI15">
        <v>-5.1000000000000004E-4</v>
      </c>
      <c r="AJ15">
        <v>3.6999999999999999E-4</v>
      </c>
      <c r="AK15">
        <v>1.1199999999999999E-3</v>
      </c>
      <c r="AL15">
        <v>3.7200000000000002E-3</v>
      </c>
      <c r="AM15">
        <v>0</v>
      </c>
      <c r="AN15">
        <v>2.6582699999999999</v>
      </c>
      <c r="AO15">
        <v>2.56366</v>
      </c>
      <c r="AP15">
        <v>3.02101</v>
      </c>
      <c r="AQ15">
        <v>3.0763400000000001</v>
      </c>
      <c r="AR15">
        <v>2.97709</v>
      </c>
      <c r="AS15">
        <v>2.74091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0.61800999999999995</v>
      </c>
      <c r="BC15">
        <v>0.45652999999999999</v>
      </c>
      <c r="BE15">
        <f t="shared" si="0"/>
        <v>2.2170000000000001</v>
      </c>
      <c r="BF15">
        <f t="shared" si="0"/>
        <v>2.2269999999999999</v>
      </c>
      <c r="BG15">
        <f t="shared" si="0"/>
        <v>2.2170000000000001</v>
      </c>
      <c r="BH15">
        <f t="shared" si="0"/>
        <v>2.08569</v>
      </c>
      <c r="BI15">
        <f t="shared" si="0"/>
        <v>2.4205900000000002</v>
      </c>
      <c r="BJ15">
        <f t="shared" si="0"/>
        <v>2.6444800000000002</v>
      </c>
      <c r="BK15">
        <f t="shared" si="0"/>
        <v>2.4279200000000003</v>
      </c>
      <c r="BL15">
        <f t="shared" si="4"/>
        <v>-5.7999999999999996E-3</v>
      </c>
      <c r="BM15">
        <f t="shared" si="1"/>
        <v>-7.3999999999999995E-3</v>
      </c>
      <c r="BN15">
        <f t="shared" si="1"/>
        <v>-1.2599999999999998E-3</v>
      </c>
      <c r="BO15">
        <f t="shared" si="1"/>
        <v>-6.3099999999999996E-3</v>
      </c>
      <c r="BP15">
        <f t="shared" si="1"/>
        <v>-5.4299999999999999E-3</v>
      </c>
      <c r="BQ15">
        <f t="shared" si="1"/>
        <v>-4.6800000000000001E-3</v>
      </c>
      <c r="BR15">
        <f t="shared" si="1"/>
        <v>-2.0799999999999994E-3</v>
      </c>
      <c r="BS15">
        <f t="shared" si="5"/>
        <v>0</v>
      </c>
      <c r="BT15">
        <f t="shared" si="2"/>
        <v>2.6582699999999999</v>
      </c>
      <c r="BU15">
        <f t="shared" si="2"/>
        <v>2.56366</v>
      </c>
      <c r="BV15">
        <f t="shared" si="2"/>
        <v>3.02101</v>
      </c>
      <c r="BW15">
        <f t="shared" si="2"/>
        <v>3.0763400000000001</v>
      </c>
      <c r="BX15">
        <f t="shared" si="2"/>
        <v>2.97709</v>
      </c>
      <c r="BY15">
        <f t="shared" si="2"/>
        <v>2.74091</v>
      </c>
      <c r="CA15">
        <f t="shared" si="6"/>
        <v>-0.8498199999999998</v>
      </c>
      <c r="CD15">
        <f t="shared" si="7"/>
        <v>-0.8498199999999998</v>
      </c>
      <c r="CE15">
        <f t="shared" si="8"/>
        <v>-0.83982000000000001</v>
      </c>
      <c r="CF15">
        <f t="shared" si="9"/>
        <v>-0.8498199999999998</v>
      </c>
      <c r="CG15">
        <f t="shared" si="10"/>
        <v>-0.98112999999999984</v>
      </c>
      <c r="CH15">
        <f t="shared" si="11"/>
        <v>-0.64622999999999964</v>
      </c>
      <c r="CI15">
        <f t="shared" si="12"/>
        <v>-0.42233999999999972</v>
      </c>
      <c r="CJ15">
        <f t="shared" si="12"/>
        <v>-0.63889999999999958</v>
      </c>
    </row>
    <row r="16" spans="2:88" x14ac:dyDescent="0.15">
      <c r="B16">
        <v>0.75</v>
      </c>
      <c r="C16">
        <v>8.15</v>
      </c>
      <c r="D16">
        <v>410.5</v>
      </c>
      <c r="E16">
        <v>-2.4009999999999998</v>
      </c>
      <c r="F16">
        <v>1.18</v>
      </c>
      <c r="G16">
        <v>1.88</v>
      </c>
      <c r="H16">
        <v>10</v>
      </c>
      <c r="I16">
        <v>0</v>
      </c>
      <c r="J16">
        <v>-0.72499999999999998</v>
      </c>
      <c r="K16">
        <v>0.1</v>
      </c>
      <c r="L16">
        <v>0.68</v>
      </c>
      <c r="M16">
        <v>0</v>
      </c>
      <c r="N16">
        <v>-5.4000000000000003E-3</v>
      </c>
      <c r="O16">
        <v>0</v>
      </c>
      <c r="P16">
        <v>0</v>
      </c>
      <c r="Q16">
        <v>0.4</v>
      </c>
      <c r="R16">
        <v>1.73</v>
      </c>
      <c r="S16">
        <v>1.1299999999999999E-2</v>
      </c>
      <c r="T16">
        <v>1.9410000000000001</v>
      </c>
      <c r="U16">
        <v>-2.9600000000000001E-2</v>
      </c>
      <c r="V16">
        <v>-0.245</v>
      </c>
      <c r="W16">
        <v>0</v>
      </c>
      <c r="X16">
        <v>0</v>
      </c>
      <c r="Y16">
        <v>0</v>
      </c>
      <c r="Z16">
        <v>8.0000000000000002E-3</v>
      </c>
      <c r="AA16">
        <v>0</v>
      </c>
      <c r="AB16">
        <v>-0.14463999999999999</v>
      </c>
      <c r="AC16">
        <v>0.18917999999999999</v>
      </c>
      <c r="AD16">
        <v>0.41558</v>
      </c>
      <c r="AE16">
        <v>0.17024</v>
      </c>
      <c r="AF16">
        <v>0</v>
      </c>
      <c r="AG16">
        <v>-1.58E-3</v>
      </c>
      <c r="AH16">
        <v>1.5299999999999999E-3</v>
      </c>
      <c r="AI16">
        <v>-5.0000000000000001E-4</v>
      </c>
      <c r="AJ16">
        <v>6.4000000000000005E-4</v>
      </c>
      <c r="AK16">
        <v>1.1100000000000001E-3</v>
      </c>
      <c r="AL16">
        <v>3.15E-3</v>
      </c>
      <c r="AM16">
        <v>0</v>
      </c>
      <c r="AN16">
        <v>2.3457699999999999</v>
      </c>
      <c r="AO16">
        <v>2.2705299999999999</v>
      </c>
      <c r="AP16">
        <v>2.5427499999999998</v>
      </c>
      <c r="AQ16">
        <v>2.6057399999999999</v>
      </c>
      <c r="AR16">
        <v>2.4935399999999999</v>
      </c>
      <c r="AS16">
        <v>2.4128099999999999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0.62212999999999996</v>
      </c>
      <c r="BC16">
        <v>0.44590999999999997</v>
      </c>
      <c r="BE16">
        <f t="shared" si="0"/>
        <v>1.9410000000000001</v>
      </c>
      <c r="BF16">
        <f t="shared" si="0"/>
        <v>1.9490000000000001</v>
      </c>
      <c r="BG16">
        <f t="shared" si="0"/>
        <v>1.9410000000000001</v>
      </c>
      <c r="BH16">
        <f t="shared" si="0"/>
        <v>1.79636</v>
      </c>
      <c r="BI16">
        <f t="shared" si="0"/>
        <v>2.1301800000000002</v>
      </c>
      <c r="BJ16">
        <f t="shared" si="0"/>
        <v>2.3565800000000001</v>
      </c>
      <c r="BK16">
        <f t="shared" si="0"/>
        <v>2.11124</v>
      </c>
      <c r="BL16">
        <f t="shared" si="4"/>
        <v>-5.4000000000000003E-3</v>
      </c>
      <c r="BM16">
        <f t="shared" si="1"/>
        <v>-6.9800000000000001E-3</v>
      </c>
      <c r="BN16">
        <f t="shared" si="1"/>
        <v>-3.8700000000000002E-3</v>
      </c>
      <c r="BO16">
        <f t="shared" si="1"/>
        <v>-5.9000000000000007E-3</v>
      </c>
      <c r="BP16">
        <f t="shared" si="1"/>
        <v>-4.7600000000000003E-3</v>
      </c>
      <c r="BQ16">
        <f t="shared" si="1"/>
        <v>-4.2900000000000004E-3</v>
      </c>
      <c r="BR16">
        <f t="shared" si="1"/>
        <v>-2.2500000000000003E-3</v>
      </c>
      <c r="BS16">
        <f t="shared" si="5"/>
        <v>0</v>
      </c>
      <c r="BT16">
        <f t="shared" si="2"/>
        <v>2.3457699999999999</v>
      </c>
      <c r="BU16">
        <f t="shared" si="2"/>
        <v>2.2705299999999999</v>
      </c>
      <c r="BV16">
        <f t="shared" si="2"/>
        <v>2.5427499999999998</v>
      </c>
      <c r="BW16">
        <f t="shared" si="2"/>
        <v>2.6057399999999999</v>
      </c>
      <c r="BX16">
        <f t="shared" si="2"/>
        <v>2.4935399999999999</v>
      </c>
      <c r="BY16">
        <f t="shared" si="2"/>
        <v>2.4128099999999999</v>
      </c>
      <c r="CA16">
        <f t="shared" si="6"/>
        <v>-0.89217999999999953</v>
      </c>
      <c r="CD16">
        <f t="shared" si="7"/>
        <v>-0.89217999999999953</v>
      </c>
      <c r="CE16">
        <f t="shared" si="8"/>
        <v>-0.88417999999999952</v>
      </c>
      <c r="CF16">
        <f t="shared" si="9"/>
        <v>-0.89217999999999953</v>
      </c>
      <c r="CG16">
        <f t="shared" si="10"/>
        <v>-1.0368199999999996</v>
      </c>
      <c r="CH16">
        <f t="shared" si="11"/>
        <v>-0.7029999999999994</v>
      </c>
      <c r="CI16">
        <f t="shared" si="12"/>
        <v>-0.47659999999999947</v>
      </c>
      <c r="CJ16">
        <f t="shared" si="12"/>
        <v>-0.72193999999999958</v>
      </c>
    </row>
    <row r="17" spans="2:88" x14ac:dyDescent="0.15">
      <c r="B17">
        <v>1</v>
      </c>
      <c r="C17">
        <v>8.1</v>
      </c>
      <c r="D17">
        <v>400</v>
      </c>
      <c r="E17">
        <v>-1.9550000000000001</v>
      </c>
      <c r="F17">
        <v>1.18</v>
      </c>
      <c r="G17">
        <v>1.88</v>
      </c>
      <c r="H17">
        <v>10</v>
      </c>
      <c r="I17">
        <v>0</v>
      </c>
      <c r="J17">
        <v>-0.66800000000000004</v>
      </c>
      <c r="K17">
        <v>0.1</v>
      </c>
      <c r="L17">
        <v>0.68</v>
      </c>
      <c r="M17">
        <v>0</v>
      </c>
      <c r="N17">
        <v>-5.0000000000000001E-3</v>
      </c>
      <c r="O17">
        <v>0</v>
      </c>
      <c r="P17">
        <v>0</v>
      </c>
      <c r="Q17">
        <v>0.4</v>
      </c>
      <c r="R17">
        <v>1.73</v>
      </c>
      <c r="S17">
        <v>0.01</v>
      </c>
      <c r="T17">
        <v>1.4259999999999999</v>
      </c>
      <c r="U17">
        <v>-3.6299999999999999E-2</v>
      </c>
      <c r="V17">
        <v>-0.26100000000000001</v>
      </c>
      <c r="W17">
        <v>0</v>
      </c>
      <c r="X17">
        <v>0</v>
      </c>
      <c r="Y17">
        <v>0</v>
      </c>
      <c r="Z17">
        <v>-2.4E-2</v>
      </c>
      <c r="AA17">
        <v>0</v>
      </c>
      <c r="AB17">
        <v>-0.13797000000000001</v>
      </c>
      <c r="AC17">
        <v>0.19001999999999999</v>
      </c>
      <c r="AD17">
        <v>0.44063999999999998</v>
      </c>
      <c r="AE17">
        <v>0.14684</v>
      </c>
      <c r="AF17">
        <v>0</v>
      </c>
      <c r="AG17">
        <v>-1.4499999999999999E-3</v>
      </c>
      <c r="AH17">
        <v>1.1900000000000001E-3</v>
      </c>
      <c r="AI17">
        <v>-6.2E-4</v>
      </c>
      <c r="AJ17">
        <v>4.8000000000000001E-4</v>
      </c>
      <c r="AK17">
        <v>1.33E-3</v>
      </c>
      <c r="AL17">
        <v>3.0400000000000002E-3</v>
      </c>
      <c r="AM17">
        <v>0</v>
      </c>
      <c r="AN17">
        <v>1.85131</v>
      </c>
      <c r="AO17">
        <v>1.80535</v>
      </c>
      <c r="AP17">
        <v>1.9678</v>
      </c>
      <c r="AQ17">
        <v>1.9834799999999999</v>
      </c>
      <c r="AR17">
        <v>1.8019099999999999</v>
      </c>
      <c r="AS17">
        <v>1.79956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0.62668999999999997</v>
      </c>
      <c r="BC17">
        <v>0.44744</v>
      </c>
      <c r="BE17">
        <f t="shared" si="0"/>
        <v>1.4259999999999999</v>
      </c>
      <c r="BF17">
        <f t="shared" si="0"/>
        <v>1.4019999999999999</v>
      </c>
      <c r="BG17">
        <f t="shared" si="0"/>
        <v>1.4259999999999999</v>
      </c>
      <c r="BH17">
        <f t="shared" si="0"/>
        <v>1.28803</v>
      </c>
      <c r="BI17">
        <f t="shared" si="0"/>
        <v>1.61602</v>
      </c>
      <c r="BJ17">
        <f t="shared" si="0"/>
        <v>1.8666399999999999</v>
      </c>
      <c r="BK17">
        <f t="shared" si="0"/>
        <v>1.57284</v>
      </c>
      <c r="BL17">
        <f t="shared" si="4"/>
        <v>-5.0000000000000001E-3</v>
      </c>
      <c r="BM17">
        <f t="shared" si="1"/>
        <v>-6.45E-3</v>
      </c>
      <c r="BN17">
        <f t="shared" si="1"/>
        <v>-3.81E-3</v>
      </c>
      <c r="BO17">
        <f t="shared" si="1"/>
        <v>-5.62E-3</v>
      </c>
      <c r="BP17">
        <f t="shared" si="1"/>
        <v>-4.5199999999999997E-3</v>
      </c>
      <c r="BQ17">
        <f t="shared" si="1"/>
        <v>-3.6700000000000001E-3</v>
      </c>
      <c r="BR17">
        <f t="shared" si="1"/>
        <v>-1.9599999999999999E-3</v>
      </c>
      <c r="BS17">
        <f t="shared" si="5"/>
        <v>0</v>
      </c>
      <c r="BT17">
        <f t="shared" si="2"/>
        <v>1.85131</v>
      </c>
      <c r="BU17">
        <f t="shared" si="2"/>
        <v>1.80535</v>
      </c>
      <c r="BV17">
        <f t="shared" si="2"/>
        <v>1.9678</v>
      </c>
      <c r="BW17">
        <f t="shared" si="2"/>
        <v>1.9834799999999999</v>
      </c>
      <c r="BX17">
        <f t="shared" si="2"/>
        <v>1.8019099999999999</v>
      </c>
      <c r="BY17">
        <f t="shared" si="2"/>
        <v>1.79956</v>
      </c>
      <c r="CA17">
        <f t="shared" si="6"/>
        <v>-0.88090000000000024</v>
      </c>
      <c r="CD17">
        <f t="shared" si="7"/>
        <v>-0.88090000000000024</v>
      </c>
      <c r="CE17">
        <f t="shared" si="8"/>
        <v>-0.90490000000000026</v>
      </c>
      <c r="CF17">
        <f t="shared" si="9"/>
        <v>-0.88090000000000024</v>
      </c>
      <c r="CG17">
        <f t="shared" si="10"/>
        <v>-1.0188700000000002</v>
      </c>
      <c r="CH17">
        <f t="shared" si="11"/>
        <v>-0.69088000000000016</v>
      </c>
      <c r="CI17">
        <f t="shared" si="12"/>
        <v>-0.44026000000000032</v>
      </c>
      <c r="CJ17">
        <f t="shared" si="12"/>
        <v>-0.73406000000000016</v>
      </c>
    </row>
    <row r="18" spans="2:88" x14ac:dyDescent="0.15">
      <c r="B18">
        <v>1.5</v>
      </c>
      <c r="C18">
        <v>8.0500000000000007</v>
      </c>
      <c r="D18">
        <v>400</v>
      </c>
      <c r="E18">
        <v>-1.0249999999999999</v>
      </c>
      <c r="F18">
        <v>1.18</v>
      </c>
      <c r="G18">
        <v>1.88</v>
      </c>
      <c r="H18">
        <v>10</v>
      </c>
      <c r="I18">
        <v>0</v>
      </c>
      <c r="J18">
        <v>-0.58699999999999997</v>
      </c>
      <c r="K18">
        <v>0.1</v>
      </c>
      <c r="L18">
        <v>0.68</v>
      </c>
      <c r="M18">
        <v>0</v>
      </c>
      <c r="N18">
        <v>-4.5999999999999999E-3</v>
      </c>
      <c r="O18">
        <v>0</v>
      </c>
      <c r="P18">
        <v>0</v>
      </c>
      <c r="Q18">
        <v>0.4</v>
      </c>
      <c r="R18">
        <v>1.73</v>
      </c>
      <c r="S18">
        <v>8.2000000000000007E-3</v>
      </c>
      <c r="T18">
        <v>0.42799999999999999</v>
      </c>
      <c r="U18">
        <v>-4.9299999999999997E-2</v>
      </c>
      <c r="V18">
        <v>-0.28499999999999998</v>
      </c>
      <c r="W18">
        <v>0</v>
      </c>
      <c r="X18">
        <v>0</v>
      </c>
      <c r="Y18">
        <v>0</v>
      </c>
      <c r="Z18">
        <v>-9.9000000000000005E-2</v>
      </c>
      <c r="AA18">
        <v>0</v>
      </c>
      <c r="AB18">
        <v>-0.11466999999999999</v>
      </c>
      <c r="AC18">
        <v>0.19708000000000001</v>
      </c>
      <c r="AD18">
        <v>0.45177</v>
      </c>
      <c r="AE18">
        <v>8.0210000000000004E-2</v>
      </c>
      <c r="AF18">
        <v>0</v>
      </c>
      <c r="AG18">
        <v>-1.1000000000000001E-3</v>
      </c>
      <c r="AH18">
        <v>-1.7700000000000001E-3</v>
      </c>
      <c r="AI18">
        <v>-8.4999999999999995E-4</v>
      </c>
      <c r="AJ18">
        <v>-1.2999999999999999E-4</v>
      </c>
      <c r="AK18">
        <v>8.4999999999999995E-4</v>
      </c>
      <c r="AL18">
        <v>3.8600000000000001E-3</v>
      </c>
      <c r="AM18">
        <v>0</v>
      </c>
      <c r="AN18">
        <v>1.2155899999999999</v>
      </c>
      <c r="AO18">
        <v>1.1530100000000001</v>
      </c>
      <c r="AP18">
        <v>1.0976399999999999</v>
      </c>
      <c r="AQ18">
        <v>1.1279300000000001</v>
      </c>
      <c r="AR18">
        <v>0.92657</v>
      </c>
      <c r="AS18">
        <v>0.96035999999999999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0.64198999999999995</v>
      </c>
      <c r="BC18">
        <v>0.45028000000000001</v>
      </c>
      <c r="BE18">
        <f t="shared" si="0"/>
        <v>0.42799999999999999</v>
      </c>
      <c r="BF18">
        <f t="shared" si="0"/>
        <v>0.32899999999999996</v>
      </c>
      <c r="BG18">
        <f t="shared" si="0"/>
        <v>0.42799999999999999</v>
      </c>
      <c r="BH18">
        <f t="shared" si="0"/>
        <v>0.31333</v>
      </c>
      <c r="BI18">
        <f t="shared" si="0"/>
        <v>0.62507999999999997</v>
      </c>
      <c r="BJ18">
        <f t="shared" si="0"/>
        <v>0.87976999999999994</v>
      </c>
      <c r="BK18">
        <f t="shared" si="0"/>
        <v>0.50821000000000005</v>
      </c>
      <c r="BL18">
        <f t="shared" si="4"/>
        <v>-4.5999999999999999E-3</v>
      </c>
      <c r="BM18">
        <f t="shared" si="1"/>
        <v>-5.7000000000000002E-3</v>
      </c>
      <c r="BN18">
        <f t="shared" si="1"/>
        <v>-6.3699999999999998E-3</v>
      </c>
      <c r="BO18">
        <f t="shared" si="1"/>
        <v>-5.45E-3</v>
      </c>
      <c r="BP18">
        <f t="shared" si="1"/>
        <v>-4.7299999999999998E-3</v>
      </c>
      <c r="BQ18">
        <f t="shared" si="1"/>
        <v>-3.7499999999999999E-3</v>
      </c>
      <c r="BR18">
        <f t="shared" si="1"/>
        <v>-7.3999999999999977E-4</v>
      </c>
      <c r="BS18">
        <f t="shared" si="5"/>
        <v>0</v>
      </c>
      <c r="BT18">
        <f t="shared" si="2"/>
        <v>1.2155899999999999</v>
      </c>
      <c r="BU18">
        <f t="shared" si="2"/>
        <v>1.1530100000000001</v>
      </c>
      <c r="BV18">
        <f t="shared" si="2"/>
        <v>1.0976399999999999</v>
      </c>
      <c r="BW18">
        <f t="shared" si="2"/>
        <v>1.1279300000000001</v>
      </c>
      <c r="BX18">
        <f t="shared" si="2"/>
        <v>0.92657</v>
      </c>
      <c r="BY18">
        <f t="shared" si="2"/>
        <v>0.96035999999999999</v>
      </c>
      <c r="CA18">
        <f t="shared" si="6"/>
        <v>-0.78149999999999986</v>
      </c>
      <c r="CD18">
        <f t="shared" si="7"/>
        <v>-0.78149999999999986</v>
      </c>
      <c r="CE18">
        <f t="shared" si="8"/>
        <v>-0.88049999999999984</v>
      </c>
      <c r="CF18">
        <f t="shared" si="9"/>
        <v>-0.78149999999999986</v>
      </c>
      <c r="CG18">
        <f t="shared" si="10"/>
        <v>-0.8961699999999998</v>
      </c>
      <c r="CH18">
        <f t="shared" si="11"/>
        <v>-0.58441999999999983</v>
      </c>
      <c r="CI18">
        <f t="shared" si="12"/>
        <v>-0.32972999999999986</v>
      </c>
      <c r="CJ18">
        <f t="shared" si="12"/>
        <v>-0.70128999999999975</v>
      </c>
    </row>
    <row r="19" spans="2:88" x14ac:dyDescent="0.15">
      <c r="B19">
        <v>2</v>
      </c>
      <c r="C19">
        <v>8</v>
      </c>
      <c r="D19">
        <v>400</v>
      </c>
      <c r="E19">
        <v>-0.29899999999999999</v>
      </c>
      <c r="F19">
        <v>1.18</v>
      </c>
      <c r="G19">
        <v>1.88</v>
      </c>
      <c r="H19">
        <v>10</v>
      </c>
      <c r="I19">
        <v>0</v>
      </c>
      <c r="J19">
        <v>-0.53</v>
      </c>
      <c r="K19">
        <v>0.1</v>
      </c>
      <c r="L19">
        <v>0.68</v>
      </c>
      <c r="M19">
        <v>0</v>
      </c>
      <c r="N19">
        <v>-4.4000000000000003E-3</v>
      </c>
      <c r="O19">
        <v>0</v>
      </c>
      <c r="P19">
        <v>0</v>
      </c>
      <c r="Q19">
        <v>0.4</v>
      </c>
      <c r="R19">
        <v>1.73</v>
      </c>
      <c r="S19">
        <v>7.0000000000000001E-3</v>
      </c>
      <c r="T19">
        <v>-0.36699999999999999</v>
      </c>
      <c r="U19">
        <v>-6.0999999999999999E-2</v>
      </c>
      <c r="V19">
        <v>-0.30099999999999999</v>
      </c>
      <c r="W19">
        <v>0</v>
      </c>
      <c r="X19">
        <v>0</v>
      </c>
      <c r="Y19">
        <v>0</v>
      </c>
      <c r="Z19">
        <v>-0.12</v>
      </c>
      <c r="AA19">
        <v>0</v>
      </c>
      <c r="AB19">
        <v>-8.9719999999999994E-2</v>
      </c>
      <c r="AC19">
        <v>0.22237999999999999</v>
      </c>
      <c r="AD19">
        <v>0.50385000000000002</v>
      </c>
      <c r="AE19">
        <v>4.48E-2</v>
      </c>
      <c r="AF19">
        <v>0</v>
      </c>
      <c r="AG19">
        <v>-6.9999999999999999E-4</v>
      </c>
      <c r="AH19">
        <v>-1.8799999999999999E-3</v>
      </c>
      <c r="AI19">
        <v>-6.0999999999999997E-4</v>
      </c>
      <c r="AJ19">
        <v>-8.3000000000000001E-4</v>
      </c>
      <c r="AK19">
        <v>8.4000000000000003E-4</v>
      </c>
      <c r="AL19">
        <v>4.0000000000000001E-3</v>
      </c>
      <c r="AM19">
        <v>0</v>
      </c>
      <c r="AN19">
        <v>0.64875000000000005</v>
      </c>
      <c r="AO19">
        <v>0.52205999999999997</v>
      </c>
      <c r="AP19">
        <v>0.43351000000000001</v>
      </c>
      <c r="AQ19">
        <v>0.54356000000000004</v>
      </c>
      <c r="AR19">
        <v>0.22999</v>
      </c>
      <c r="AS19">
        <v>0.32245000000000001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0.64688999999999997</v>
      </c>
      <c r="BC19">
        <v>0.45345999999999997</v>
      </c>
      <c r="BE19">
        <f t="shared" ref="BE19:BE26" si="13">$T19+Y19</f>
        <v>-0.36699999999999999</v>
      </c>
      <c r="BF19">
        <f t="shared" ref="BF19:BF26" si="14">$T19+Z19</f>
        <v>-0.48699999999999999</v>
      </c>
      <c r="BG19">
        <f t="shared" ref="BG19:BK26" si="15">$T19+AA19</f>
        <v>-0.36699999999999999</v>
      </c>
      <c r="BH19">
        <f t="shared" si="15"/>
        <v>-0.45672000000000001</v>
      </c>
      <c r="BI19">
        <f t="shared" si="15"/>
        <v>-0.14462</v>
      </c>
      <c r="BJ19">
        <f t="shared" si="15"/>
        <v>0.13685000000000003</v>
      </c>
      <c r="BK19">
        <f t="shared" si="15"/>
        <v>-0.32219999999999999</v>
      </c>
      <c r="BL19">
        <f t="shared" si="4"/>
        <v>-4.4000000000000003E-3</v>
      </c>
      <c r="BM19">
        <f t="shared" si="4"/>
        <v>-5.1000000000000004E-3</v>
      </c>
      <c r="BN19">
        <f t="shared" si="4"/>
        <v>-6.28E-3</v>
      </c>
      <c r="BO19">
        <f t="shared" si="4"/>
        <v>-5.0100000000000006E-3</v>
      </c>
      <c r="BP19">
        <f t="shared" si="4"/>
        <v>-5.2300000000000003E-3</v>
      </c>
      <c r="BQ19">
        <f t="shared" si="4"/>
        <v>-3.5600000000000002E-3</v>
      </c>
      <c r="BR19">
        <f t="shared" si="4"/>
        <v>-4.0000000000000018E-4</v>
      </c>
      <c r="BS19">
        <f t="shared" si="5"/>
        <v>0</v>
      </c>
      <c r="BT19">
        <f t="shared" si="5"/>
        <v>0.64875000000000005</v>
      </c>
      <c r="BU19">
        <f t="shared" si="5"/>
        <v>0.52205999999999997</v>
      </c>
      <c r="BV19">
        <f t="shared" si="5"/>
        <v>0.43351000000000001</v>
      </c>
      <c r="BW19">
        <f t="shared" si="5"/>
        <v>0.54356000000000004</v>
      </c>
      <c r="BX19">
        <f t="shared" si="5"/>
        <v>0.22999</v>
      </c>
      <c r="BY19">
        <f t="shared" si="5"/>
        <v>0.32245000000000001</v>
      </c>
      <c r="CA19">
        <f t="shared" si="6"/>
        <v>-0.7198199999999999</v>
      </c>
      <c r="CD19">
        <f t="shared" si="7"/>
        <v>-0.7198199999999999</v>
      </c>
      <c r="CE19">
        <f t="shared" si="8"/>
        <v>-0.83982000000000001</v>
      </c>
      <c r="CF19">
        <f t="shared" si="9"/>
        <v>-0.7198199999999999</v>
      </c>
      <c r="CG19">
        <f t="shared" si="10"/>
        <v>-0.80953999999999993</v>
      </c>
      <c r="CH19">
        <f t="shared" si="11"/>
        <v>-0.49743999999999999</v>
      </c>
      <c r="CI19">
        <f t="shared" si="12"/>
        <v>-0.21596999999999994</v>
      </c>
      <c r="CJ19">
        <f t="shared" si="12"/>
        <v>-0.67501999999999995</v>
      </c>
    </row>
    <row r="20" spans="2:88" x14ac:dyDescent="0.15">
      <c r="B20">
        <v>2.5</v>
      </c>
      <c r="C20">
        <v>7.95</v>
      </c>
      <c r="D20">
        <v>400</v>
      </c>
      <c r="E20">
        <v>0</v>
      </c>
      <c r="F20">
        <v>1.18</v>
      </c>
      <c r="G20">
        <v>1.88</v>
      </c>
      <c r="H20">
        <v>10</v>
      </c>
      <c r="I20">
        <v>0</v>
      </c>
      <c r="J20">
        <v>-0.48599999999999999</v>
      </c>
      <c r="K20">
        <v>0.1</v>
      </c>
      <c r="L20">
        <v>0.68</v>
      </c>
      <c r="M20">
        <v>0</v>
      </c>
      <c r="N20">
        <v>-4.4000000000000003E-3</v>
      </c>
      <c r="O20">
        <v>0</v>
      </c>
      <c r="P20">
        <v>0</v>
      </c>
      <c r="Q20">
        <v>0.4</v>
      </c>
      <c r="R20">
        <v>1.73</v>
      </c>
      <c r="S20">
        <v>6.0000000000000001E-3</v>
      </c>
      <c r="T20">
        <v>-0.68400000000000005</v>
      </c>
      <c r="U20">
        <v>-7.1099999999999997E-2</v>
      </c>
      <c r="V20">
        <v>-0.313</v>
      </c>
      <c r="W20">
        <v>0</v>
      </c>
      <c r="X20">
        <v>0</v>
      </c>
      <c r="Y20">
        <v>0</v>
      </c>
      <c r="Z20">
        <v>-8.5999999999999993E-2</v>
      </c>
      <c r="AA20">
        <v>0</v>
      </c>
      <c r="AB20">
        <v>-7.9670000000000005E-2</v>
      </c>
      <c r="AC20">
        <v>0.14191000000000001</v>
      </c>
      <c r="AD20">
        <v>0.55427000000000004</v>
      </c>
      <c r="AE20">
        <v>1.6889999999999999E-2</v>
      </c>
      <c r="AF20">
        <v>0</v>
      </c>
      <c r="AG20">
        <v>-2.5000000000000001E-4</v>
      </c>
      <c r="AH20">
        <v>-3.9300000000000003E-3</v>
      </c>
      <c r="AI20">
        <v>-7.2000000000000005E-4</v>
      </c>
      <c r="AJ20">
        <v>-6.4999999999999997E-4</v>
      </c>
      <c r="AK20">
        <v>5.1999999999999995E-4</v>
      </c>
      <c r="AL20">
        <v>4.2700000000000004E-3</v>
      </c>
      <c r="AM20">
        <v>0</v>
      </c>
      <c r="AN20">
        <v>8.2210000000000005E-2</v>
      </c>
      <c r="AO20">
        <v>0.16908999999999999</v>
      </c>
      <c r="AP20">
        <v>-5.3150000000000003E-2</v>
      </c>
      <c r="AQ20">
        <v>6.9699999999999996E-3</v>
      </c>
      <c r="AR20">
        <v>-0.25430000000000003</v>
      </c>
      <c r="AS20">
        <v>-0.19175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0.64081999999999995</v>
      </c>
      <c r="BC20">
        <v>0.45293</v>
      </c>
      <c r="BE20">
        <f t="shared" si="13"/>
        <v>-0.68400000000000005</v>
      </c>
      <c r="BF20">
        <f t="shared" si="14"/>
        <v>-0.77</v>
      </c>
      <c r="BG20">
        <f t="shared" si="15"/>
        <v>-0.68400000000000005</v>
      </c>
      <c r="BH20">
        <f t="shared" si="15"/>
        <v>-0.76367000000000007</v>
      </c>
      <c r="BI20">
        <f t="shared" si="15"/>
        <v>-0.54209000000000007</v>
      </c>
      <c r="BJ20">
        <f t="shared" si="15"/>
        <v>-0.12973000000000001</v>
      </c>
      <c r="BK20">
        <f t="shared" si="15"/>
        <v>-0.66711000000000009</v>
      </c>
      <c r="BL20">
        <f t="shared" si="4"/>
        <v>-4.4000000000000003E-3</v>
      </c>
      <c r="BM20">
        <f t="shared" si="4"/>
        <v>-4.6500000000000005E-3</v>
      </c>
      <c r="BN20">
        <f t="shared" si="4"/>
        <v>-8.3300000000000006E-3</v>
      </c>
      <c r="BO20">
        <f t="shared" si="4"/>
        <v>-5.1200000000000004E-3</v>
      </c>
      <c r="BP20">
        <f t="shared" si="4"/>
        <v>-5.0500000000000007E-3</v>
      </c>
      <c r="BQ20">
        <f t="shared" si="4"/>
        <v>-3.8800000000000002E-3</v>
      </c>
      <c r="BR20">
        <f t="shared" si="4"/>
        <v>-1.2999999999999991E-4</v>
      </c>
      <c r="BS20">
        <f t="shared" si="5"/>
        <v>0</v>
      </c>
      <c r="BT20">
        <f t="shared" si="5"/>
        <v>8.2210000000000005E-2</v>
      </c>
      <c r="BU20">
        <f t="shared" si="5"/>
        <v>0.16908999999999999</v>
      </c>
      <c r="BV20">
        <f t="shared" si="5"/>
        <v>-5.3150000000000003E-2</v>
      </c>
      <c r="BW20">
        <f t="shared" si="5"/>
        <v>6.9699999999999996E-3</v>
      </c>
      <c r="BX20">
        <f t="shared" si="5"/>
        <v>-0.25430000000000003</v>
      </c>
      <c r="BY20">
        <f t="shared" si="5"/>
        <v>-0.19175</v>
      </c>
      <c r="CA20">
        <f t="shared" si="6"/>
        <v>-0.68400000000000005</v>
      </c>
      <c r="CD20">
        <f t="shared" si="7"/>
        <v>-0.68400000000000005</v>
      </c>
      <c r="CE20">
        <f t="shared" si="8"/>
        <v>-0.77</v>
      </c>
      <c r="CF20">
        <f t="shared" si="9"/>
        <v>-0.68400000000000005</v>
      </c>
      <c r="CG20">
        <f t="shared" si="10"/>
        <v>-0.76367000000000007</v>
      </c>
      <c r="CH20">
        <f t="shared" si="11"/>
        <v>-0.54209000000000007</v>
      </c>
      <c r="CI20">
        <f t="shared" si="12"/>
        <v>-0.12973000000000001</v>
      </c>
      <c r="CJ20">
        <f t="shared" si="12"/>
        <v>-0.66711000000000009</v>
      </c>
    </row>
    <row r="21" spans="2:88" x14ac:dyDescent="0.15">
      <c r="B21">
        <v>3</v>
      </c>
      <c r="C21">
        <v>7.9</v>
      </c>
      <c r="D21">
        <v>400</v>
      </c>
      <c r="E21">
        <v>0</v>
      </c>
      <c r="F21">
        <v>1.18</v>
      </c>
      <c r="G21">
        <v>1.88</v>
      </c>
      <c r="H21">
        <v>10</v>
      </c>
      <c r="I21">
        <v>0</v>
      </c>
      <c r="J21">
        <v>-0.45</v>
      </c>
      <c r="K21">
        <v>0.1</v>
      </c>
      <c r="L21">
        <v>0.68</v>
      </c>
      <c r="M21">
        <v>0</v>
      </c>
      <c r="N21">
        <v>-4.4000000000000003E-3</v>
      </c>
      <c r="O21">
        <v>0</v>
      </c>
      <c r="P21">
        <v>0</v>
      </c>
      <c r="Q21">
        <v>0.4</v>
      </c>
      <c r="R21">
        <v>1.73</v>
      </c>
      <c r="S21">
        <v>5.1999999999999998E-3</v>
      </c>
      <c r="T21">
        <v>-0.65</v>
      </c>
      <c r="U21">
        <v>-7.9799999999999996E-2</v>
      </c>
      <c r="V21">
        <v>-0.32300000000000001</v>
      </c>
      <c r="W21">
        <v>0</v>
      </c>
      <c r="X21">
        <v>0</v>
      </c>
      <c r="Y21">
        <v>0</v>
      </c>
      <c r="Z21">
        <v>-0.05</v>
      </c>
      <c r="AA21">
        <v>0</v>
      </c>
      <c r="AB21">
        <v>-9.0759999999999993E-2</v>
      </c>
      <c r="AC21">
        <v>0.12443</v>
      </c>
      <c r="AD21">
        <v>0.49341000000000002</v>
      </c>
      <c r="AE21">
        <v>2.9159999999999998E-2</v>
      </c>
      <c r="AF21">
        <v>0</v>
      </c>
      <c r="AG21">
        <v>1E-4</v>
      </c>
      <c r="AH21">
        <v>-4.4400000000000004E-3</v>
      </c>
      <c r="AI21">
        <v>-8.8000000000000003E-4</v>
      </c>
      <c r="AJ21">
        <v>-5.1000000000000004E-4</v>
      </c>
      <c r="AK21">
        <v>5.1000000000000004E-4</v>
      </c>
      <c r="AL21">
        <v>4.2900000000000004E-3</v>
      </c>
      <c r="AM21">
        <v>0</v>
      </c>
      <c r="AN21">
        <v>-0.36925999999999998</v>
      </c>
      <c r="AO21">
        <v>-0.28483000000000003</v>
      </c>
      <c r="AP21">
        <v>-0.45423999999999998</v>
      </c>
      <c r="AQ21">
        <v>-0.37089</v>
      </c>
      <c r="AR21">
        <v>-0.66149000000000002</v>
      </c>
      <c r="AS21">
        <v>-0.61234999999999995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0.63371999999999995</v>
      </c>
      <c r="BC21">
        <v>0.45373999999999998</v>
      </c>
      <c r="BE21">
        <f t="shared" si="13"/>
        <v>-0.65</v>
      </c>
      <c r="BF21">
        <f t="shared" si="14"/>
        <v>-0.70000000000000007</v>
      </c>
      <c r="BG21">
        <f t="shared" si="15"/>
        <v>-0.65</v>
      </c>
      <c r="BH21">
        <f t="shared" si="15"/>
        <v>-0.74075999999999997</v>
      </c>
      <c r="BI21">
        <f t="shared" si="15"/>
        <v>-0.52556999999999998</v>
      </c>
      <c r="BJ21">
        <f t="shared" si="15"/>
        <v>-0.15659000000000001</v>
      </c>
      <c r="BK21">
        <f t="shared" si="15"/>
        <v>-0.62084000000000006</v>
      </c>
      <c r="BL21">
        <f t="shared" si="4"/>
        <v>-4.4000000000000003E-3</v>
      </c>
      <c r="BM21">
        <f t="shared" si="4"/>
        <v>-4.3E-3</v>
      </c>
      <c r="BN21">
        <f t="shared" si="4"/>
        <v>-8.8400000000000006E-3</v>
      </c>
      <c r="BO21">
        <f t="shared" si="4"/>
        <v>-5.28E-3</v>
      </c>
      <c r="BP21">
        <f t="shared" si="4"/>
        <v>-4.9100000000000003E-3</v>
      </c>
      <c r="BQ21">
        <f t="shared" si="4"/>
        <v>-3.8900000000000002E-3</v>
      </c>
      <c r="BR21">
        <f t="shared" si="4"/>
        <v>-1.0999999999999985E-4</v>
      </c>
      <c r="BS21">
        <f t="shared" si="5"/>
        <v>0</v>
      </c>
      <c r="BT21">
        <f t="shared" si="5"/>
        <v>-0.36925999999999998</v>
      </c>
      <c r="BU21">
        <f t="shared" si="5"/>
        <v>-0.28483000000000003</v>
      </c>
      <c r="BV21">
        <f t="shared" si="5"/>
        <v>-0.45423999999999998</v>
      </c>
      <c r="BW21">
        <f t="shared" si="5"/>
        <v>-0.37089</v>
      </c>
      <c r="BX21">
        <f t="shared" si="5"/>
        <v>-0.66149000000000002</v>
      </c>
      <c r="BY21">
        <f t="shared" si="5"/>
        <v>-0.61234999999999995</v>
      </c>
      <c r="CA21">
        <f t="shared" si="6"/>
        <v>-0.65</v>
      </c>
      <c r="CD21">
        <f t="shared" si="7"/>
        <v>-0.65</v>
      </c>
      <c r="CE21">
        <f t="shared" si="8"/>
        <v>-0.70000000000000007</v>
      </c>
      <c r="CF21">
        <f t="shared" si="9"/>
        <v>-0.65</v>
      </c>
      <c r="CG21">
        <f t="shared" si="10"/>
        <v>-0.74075999999999997</v>
      </c>
      <c r="CH21">
        <f t="shared" si="11"/>
        <v>-0.52556999999999998</v>
      </c>
      <c r="CI21">
        <f t="shared" si="12"/>
        <v>-0.15659000000000001</v>
      </c>
      <c r="CJ21">
        <f t="shared" si="12"/>
        <v>-0.62084000000000006</v>
      </c>
    </row>
    <row r="22" spans="2:88" x14ac:dyDescent="0.15">
      <c r="B22">
        <v>4</v>
      </c>
      <c r="C22">
        <v>7.85</v>
      </c>
      <c r="D22">
        <v>400</v>
      </c>
      <c r="E22">
        <v>0</v>
      </c>
      <c r="F22">
        <v>1.18</v>
      </c>
      <c r="G22">
        <v>1.88</v>
      </c>
      <c r="H22">
        <v>10</v>
      </c>
      <c r="I22">
        <v>0</v>
      </c>
      <c r="J22">
        <v>-0.45</v>
      </c>
      <c r="K22">
        <v>0.1</v>
      </c>
      <c r="L22">
        <v>0.68</v>
      </c>
      <c r="M22">
        <v>0</v>
      </c>
      <c r="N22">
        <v>-4.4000000000000003E-3</v>
      </c>
      <c r="O22">
        <v>0</v>
      </c>
      <c r="P22">
        <v>0</v>
      </c>
      <c r="Q22">
        <v>0.4</v>
      </c>
      <c r="R22">
        <v>1.73</v>
      </c>
      <c r="S22">
        <v>4.0000000000000001E-3</v>
      </c>
      <c r="T22">
        <v>-0.59599999999999997</v>
      </c>
      <c r="U22">
        <v>-9.35E-2</v>
      </c>
      <c r="V22">
        <v>-0.28199999999999997</v>
      </c>
      <c r="W22">
        <v>0</v>
      </c>
      <c r="X22">
        <v>0</v>
      </c>
      <c r="Y22">
        <v>0</v>
      </c>
      <c r="Z22">
        <v>-1.0999999999999999E-2</v>
      </c>
      <c r="AA22">
        <v>0</v>
      </c>
      <c r="AB22">
        <v>-8.1850000000000006E-2</v>
      </c>
      <c r="AC22">
        <v>0.13824</v>
      </c>
      <c r="AD22">
        <v>0.43193999999999999</v>
      </c>
      <c r="AE22">
        <v>7.46E-2</v>
      </c>
      <c r="AF22">
        <v>0</v>
      </c>
      <c r="AG22">
        <v>5.0000000000000001E-4</v>
      </c>
      <c r="AH22">
        <v>-4.2599999999999999E-3</v>
      </c>
      <c r="AI22">
        <v>-1.0200000000000001E-3</v>
      </c>
      <c r="AJ22">
        <v>-8.8999999999999995E-4</v>
      </c>
      <c r="AK22">
        <v>3.8000000000000002E-4</v>
      </c>
      <c r="AL22">
        <v>3.49E-3</v>
      </c>
      <c r="AM22">
        <v>0</v>
      </c>
      <c r="AN22">
        <v>-1.0343899999999999</v>
      </c>
      <c r="AO22">
        <v>-0.81049000000000004</v>
      </c>
      <c r="AP22">
        <v>-0.91168000000000005</v>
      </c>
      <c r="AQ22">
        <v>-0.76053999999999999</v>
      </c>
      <c r="AR22">
        <v>-1.13209</v>
      </c>
      <c r="AS22">
        <v>-1.0628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0.61014000000000002</v>
      </c>
      <c r="BC22">
        <v>0.46494000000000002</v>
      </c>
      <c r="BE22">
        <f t="shared" si="13"/>
        <v>-0.59599999999999997</v>
      </c>
      <c r="BF22">
        <f t="shared" si="14"/>
        <v>-0.60699999999999998</v>
      </c>
      <c r="BG22">
        <f t="shared" si="15"/>
        <v>-0.59599999999999997</v>
      </c>
      <c r="BH22">
        <f t="shared" si="15"/>
        <v>-0.67784999999999995</v>
      </c>
      <c r="BI22">
        <f t="shared" si="15"/>
        <v>-0.45775999999999994</v>
      </c>
      <c r="BJ22">
        <f t="shared" si="15"/>
        <v>-0.16405999999999998</v>
      </c>
      <c r="BK22">
        <f t="shared" si="15"/>
        <v>-0.52139999999999997</v>
      </c>
      <c r="BL22">
        <f t="shared" si="4"/>
        <v>-4.4000000000000003E-3</v>
      </c>
      <c r="BM22">
        <f t="shared" si="4"/>
        <v>-3.9000000000000003E-3</v>
      </c>
      <c r="BN22">
        <f t="shared" si="4"/>
        <v>-8.660000000000001E-3</v>
      </c>
      <c r="BO22">
        <f t="shared" si="4"/>
        <v>-5.4200000000000003E-3</v>
      </c>
      <c r="BP22">
        <f t="shared" si="4"/>
        <v>-5.2900000000000004E-3</v>
      </c>
      <c r="BQ22">
        <f t="shared" si="4"/>
        <v>-4.0200000000000001E-3</v>
      </c>
      <c r="BR22">
        <f t="shared" si="4"/>
        <v>-9.1000000000000022E-4</v>
      </c>
      <c r="BS22">
        <f t="shared" si="5"/>
        <v>0</v>
      </c>
      <c r="BT22">
        <f t="shared" si="5"/>
        <v>-1.0343899999999999</v>
      </c>
      <c r="BU22">
        <f t="shared" si="5"/>
        <v>-0.81049000000000004</v>
      </c>
      <c r="BV22">
        <f t="shared" si="5"/>
        <v>-0.91168000000000005</v>
      </c>
      <c r="BW22">
        <f t="shared" si="5"/>
        <v>-0.76053999999999999</v>
      </c>
      <c r="BX22">
        <f t="shared" si="5"/>
        <v>-1.13209</v>
      </c>
      <c r="BY22">
        <f t="shared" si="5"/>
        <v>-1.0628</v>
      </c>
      <c r="CA22">
        <f t="shared" si="6"/>
        <v>-0.59599999999999997</v>
      </c>
      <c r="CD22">
        <f t="shared" si="7"/>
        <v>-0.59599999999999997</v>
      </c>
      <c r="CE22">
        <f t="shared" si="8"/>
        <v>-0.60699999999999998</v>
      </c>
      <c r="CF22">
        <f t="shared" si="9"/>
        <v>-0.59599999999999997</v>
      </c>
      <c r="CG22">
        <f t="shared" si="10"/>
        <v>-0.67784999999999995</v>
      </c>
      <c r="CH22">
        <f t="shared" si="11"/>
        <v>-0.45775999999999994</v>
      </c>
      <c r="CI22">
        <f t="shared" si="12"/>
        <v>-0.16405999999999998</v>
      </c>
      <c r="CJ22">
        <f t="shared" si="12"/>
        <v>-0.52139999999999997</v>
      </c>
    </row>
    <row r="23" spans="2:88" s="36" customFormat="1" x14ac:dyDescent="0.15">
      <c r="B23" s="36">
        <v>5</v>
      </c>
      <c r="C23">
        <v>7.8</v>
      </c>
      <c r="D23">
        <v>400</v>
      </c>
      <c r="E23">
        <v>0</v>
      </c>
      <c r="F23">
        <v>1.18</v>
      </c>
      <c r="G23">
        <v>1.88</v>
      </c>
      <c r="H23">
        <v>10</v>
      </c>
      <c r="I23">
        <v>0</v>
      </c>
      <c r="J23">
        <v>-0.45</v>
      </c>
      <c r="K23">
        <v>0.1</v>
      </c>
      <c r="L23">
        <v>0.73</v>
      </c>
      <c r="M23">
        <v>0</v>
      </c>
      <c r="N23">
        <v>-4.4000000000000003E-3</v>
      </c>
      <c r="O23">
        <v>0</v>
      </c>
      <c r="P23">
        <v>0</v>
      </c>
      <c r="Q23">
        <v>0.4</v>
      </c>
      <c r="R23">
        <v>1.73</v>
      </c>
      <c r="S23">
        <v>3.0000000000000001E-3</v>
      </c>
      <c r="T23">
        <v>-0.56000000000000005</v>
      </c>
      <c r="U23">
        <v>-9.8000000000000004E-2</v>
      </c>
      <c r="V23">
        <v>-0.25</v>
      </c>
      <c r="W23">
        <v>0</v>
      </c>
      <c r="X23">
        <v>0</v>
      </c>
      <c r="Y23">
        <v>0</v>
      </c>
      <c r="Z23">
        <v>0.02</v>
      </c>
      <c r="AA23">
        <v>0</v>
      </c>
      <c r="AB23">
        <v>-7.6569999999999999E-2</v>
      </c>
      <c r="AC23">
        <v>0.17859</v>
      </c>
      <c r="AD23">
        <v>0.40135999999999999</v>
      </c>
      <c r="AE23">
        <v>8.5300000000000001E-2</v>
      </c>
      <c r="AF23">
        <v>0</v>
      </c>
      <c r="AG23">
        <v>6.9999999999999999E-4</v>
      </c>
      <c r="AH23">
        <v>1.65E-3</v>
      </c>
      <c r="AI23">
        <v>-9.2000000000000003E-4</v>
      </c>
      <c r="AJ23">
        <v>-6.7000000000000002E-4</v>
      </c>
      <c r="AK23">
        <v>2.9999999999999997E-4</v>
      </c>
      <c r="AL23">
        <v>3.4499999999999999E-3</v>
      </c>
      <c r="AM23">
        <v>0</v>
      </c>
      <c r="AN23">
        <v>-1.5196700000000001</v>
      </c>
      <c r="AO23">
        <v>-1.3063100000000001</v>
      </c>
      <c r="AP23">
        <v>-1.34684</v>
      </c>
      <c r="AQ23">
        <v>-1.1452899999999999</v>
      </c>
      <c r="AR23">
        <v>-1.5378499999999999</v>
      </c>
      <c r="AS23">
        <v>-1.55274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0.57140000000000002</v>
      </c>
      <c r="BC23">
        <v>0.45678000000000002</v>
      </c>
      <c r="BE23">
        <f t="shared" si="13"/>
        <v>-0.56000000000000005</v>
      </c>
      <c r="BF23">
        <f t="shared" si="14"/>
        <v>-0.54</v>
      </c>
      <c r="BG23" s="36">
        <f t="shared" si="15"/>
        <v>-0.56000000000000005</v>
      </c>
      <c r="BH23" s="36">
        <f t="shared" si="15"/>
        <v>-0.63657000000000008</v>
      </c>
      <c r="BI23" s="36">
        <f t="shared" si="15"/>
        <v>-0.38141000000000003</v>
      </c>
      <c r="BJ23" s="36">
        <f t="shared" si="15"/>
        <v>-0.15864000000000006</v>
      </c>
      <c r="BK23" s="36">
        <f t="shared" si="15"/>
        <v>-0.47470000000000007</v>
      </c>
      <c r="BL23" s="36">
        <f t="shared" si="4"/>
        <v>-4.4000000000000003E-3</v>
      </c>
      <c r="BM23" s="36">
        <f t="shared" si="4"/>
        <v>-3.7000000000000002E-3</v>
      </c>
      <c r="BN23" s="36">
        <f t="shared" si="4"/>
        <v>-2.7500000000000003E-3</v>
      </c>
      <c r="BO23" s="36">
        <f t="shared" si="4"/>
        <v>-5.3200000000000001E-3</v>
      </c>
      <c r="BP23" s="36">
        <f t="shared" si="4"/>
        <v>-5.0699999999999999E-3</v>
      </c>
      <c r="BQ23" s="36">
        <f t="shared" si="4"/>
        <v>-4.1000000000000003E-3</v>
      </c>
      <c r="BR23" s="36">
        <f t="shared" si="4"/>
        <v>-9.5000000000000032E-4</v>
      </c>
      <c r="BS23" s="36">
        <f t="shared" si="5"/>
        <v>0</v>
      </c>
      <c r="BT23" s="36">
        <f t="shared" si="5"/>
        <v>-1.5196700000000001</v>
      </c>
      <c r="BU23" s="36">
        <f t="shared" si="5"/>
        <v>-1.3063100000000001</v>
      </c>
      <c r="BV23" s="36">
        <f t="shared" si="5"/>
        <v>-1.34684</v>
      </c>
      <c r="BW23" s="36">
        <f t="shared" si="5"/>
        <v>-1.1452899999999999</v>
      </c>
      <c r="BX23" s="36">
        <f t="shared" si="5"/>
        <v>-1.5378499999999999</v>
      </c>
      <c r="BY23" s="36">
        <f t="shared" si="5"/>
        <v>-1.55274</v>
      </c>
      <c r="CA23">
        <f t="shared" si="6"/>
        <v>-0.56000000000000005</v>
      </c>
      <c r="CD23">
        <f t="shared" si="7"/>
        <v>-0.56000000000000005</v>
      </c>
      <c r="CE23">
        <f t="shared" si="8"/>
        <v>-0.54</v>
      </c>
      <c r="CF23">
        <f t="shared" si="9"/>
        <v>-0.56000000000000005</v>
      </c>
      <c r="CG23">
        <f t="shared" si="10"/>
        <v>-0.63657000000000008</v>
      </c>
      <c r="CH23">
        <f t="shared" si="11"/>
        <v>-0.38141000000000003</v>
      </c>
      <c r="CI23">
        <f t="shared" si="12"/>
        <v>-0.15864000000000006</v>
      </c>
      <c r="CJ23">
        <f t="shared" si="12"/>
        <v>-0.47470000000000007</v>
      </c>
    </row>
    <row r="24" spans="2:88" x14ac:dyDescent="0.15">
      <c r="B24">
        <v>6</v>
      </c>
      <c r="C24">
        <v>7.8</v>
      </c>
      <c r="D24">
        <v>400</v>
      </c>
      <c r="E24">
        <v>0</v>
      </c>
      <c r="F24">
        <v>1.18</v>
      </c>
      <c r="G24">
        <v>1.88</v>
      </c>
      <c r="H24">
        <v>10</v>
      </c>
      <c r="I24">
        <v>0</v>
      </c>
      <c r="J24">
        <v>-0.45</v>
      </c>
      <c r="K24">
        <v>0.1</v>
      </c>
      <c r="L24">
        <v>0.78</v>
      </c>
      <c r="M24">
        <v>0</v>
      </c>
      <c r="N24">
        <v>-4.4000000000000003E-3</v>
      </c>
      <c r="O24">
        <v>0</v>
      </c>
      <c r="P24">
        <v>0</v>
      </c>
      <c r="Q24">
        <v>0.4</v>
      </c>
      <c r="R24">
        <v>1.73</v>
      </c>
      <c r="S24">
        <v>2.2000000000000001E-3</v>
      </c>
      <c r="T24">
        <v>-0.53300000000000003</v>
      </c>
      <c r="U24">
        <v>-9.8000000000000004E-2</v>
      </c>
      <c r="V24">
        <v>-0.25</v>
      </c>
      <c r="W24">
        <v>0</v>
      </c>
      <c r="X24">
        <v>0</v>
      </c>
      <c r="Y24">
        <v>0</v>
      </c>
      <c r="Z24">
        <v>5.3999999999999999E-2</v>
      </c>
      <c r="AA24">
        <v>0</v>
      </c>
      <c r="AB24">
        <v>-7.8460000000000002E-2</v>
      </c>
      <c r="AC24">
        <v>0.15581</v>
      </c>
      <c r="AD24">
        <v>0.38239000000000001</v>
      </c>
      <c r="AE24">
        <v>0.11531</v>
      </c>
      <c r="AF24">
        <v>0</v>
      </c>
      <c r="AG24">
        <v>8.3000000000000001E-4</v>
      </c>
      <c r="AH24">
        <v>-6.8000000000000005E-4</v>
      </c>
      <c r="AI24">
        <v>-4.2999999999999999E-4</v>
      </c>
      <c r="AJ24">
        <v>-1.2999999999999999E-4</v>
      </c>
      <c r="AK24">
        <v>1.8000000000000001E-4</v>
      </c>
      <c r="AL24">
        <v>3.98E-3</v>
      </c>
      <c r="AM24">
        <v>0</v>
      </c>
      <c r="AN24">
        <v>-1.8102499999999999</v>
      </c>
      <c r="AO24">
        <v>-1.49953</v>
      </c>
      <c r="AP24">
        <v>-1.7085399999999999</v>
      </c>
      <c r="AQ24">
        <v>-1.4543299999999999</v>
      </c>
      <c r="AR24">
        <v>-1.7800400000000001</v>
      </c>
      <c r="AS24">
        <v>-1.90615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0.54493000000000003</v>
      </c>
      <c r="BC24">
        <v>0.42486000000000002</v>
      </c>
      <c r="BE24">
        <f t="shared" si="13"/>
        <v>-0.53300000000000003</v>
      </c>
      <c r="BF24">
        <f t="shared" si="14"/>
        <v>-0.47900000000000004</v>
      </c>
      <c r="BG24">
        <f t="shared" si="15"/>
        <v>-0.53300000000000003</v>
      </c>
      <c r="BH24">
        <f t="shared" si="15"/>
        <v>-0.61146</v>
      </c>
      <c r="BI24">
        <f t="shared" si="15"/>
        <v>-0.37719000000000003</v>
      </c>
      <c r="BJ24">
        <f t="shared" si="15"/>
        <v>-0.15061000000000002</v>
      </c>
      <c r="BK24">
        <f t="shared" si="15"/>
        <v>-0.41769000000000001</v>
      </c>
      <c r="BL24">
        <f t="shared" si="4"/>
        <v>-4.4000000000000003E-3</v>
      </c>
      <c r="BM24">
        <f t="shared" si="4"/>
        <v>-3.5700000000000003E-3</v>
      </c>
      <c r="BN24">
        <f t="shared" si="4"/>
        <v>-5.0800000000000003E-3</v>
      </c>
      <c r="BO24">
        <f t="shared" si="4"/>
        <v>-4.8300000000000001E-3</v>
      </c>
      <c r="BP24">
        <f t="shared" si="4"/>
        <v>-4.5300000000000002E-3</v>
      </c>
      <c r="BQ24">
        <f t="shared" si="4"/>
        <v>-4.2200000000000007E-3</v>
      </c>
      <c r="BR24">
        <f t="shared" si="4"/>
        <v>-4.2000000000000023E-4</v>
      </c>
      <c r="BS24">
        <f t="shared" si="5"/>
        <v>0</v>
      </c>
      <c r="BT24">
        <f t="shared" si="5"/>
        <v>-1.8102499999999999</v>
      </c>
      <c r="BU24">
        <f t="shared" si="5"/>
        <v>-1.49953</v>
      </c>
      <c r="BV24">
        <f t="shared" si="5"/>
        <v>-1.7085399999999999</v>
      </c>
      <c r="BW24">
        <f t="shared" si="5"/>
        <v>-1.4543299999999999</v>
      </c>
      <c r="BX24">
        <f t="shared" si="5"/>
        <v>-1.7800400000000001</v>
      </c>
      <c r="BY24">
        <f t="shared" si="5"/>
        <v>-1.90615</v>
      </c>
      <c r="CA24">
        <f t="shared" si="6"/>
        <v>-0.53300000000000003</v>
      </c>
      <c r="CD24">
        <f t="shared" si="7"/>
        <v>-0.53300000000000003</v>
      </c>
      <c r="CE24">
        <f t="shared" si="8"/>
        <v>-0.47900000000000004</v>
      </c>
      <c r="CF24">
        <f t="shared" si="9"/>
        <v>-0.53300000000000003</v>
      </c>
      <c r="CG24">
        <f t="shared" si="10"/>
        <v>-0.61146</v>
      </c>
      <c r="CH24">
        <f t="shared" si="11"/>
        <v>-0.37719000000000003</v>
      </c>
      <c r="CI24">
        <f t="shared" si="12"/>
        <v>-0.15061000000000002</v>
      </c>
      <c r="CJ24">
        <f t="shared" si="12"/>
        <v>-0.41769000000000001</v>
      </c>
    </row>
    <row r="25" spans="2:88" x14ac:dyDescent="0.15">
      <c r="B25">
        <v>7.5</v>
      </c>
      <c r="C25">
        <v>7.8</v>
      </c>
      <c r="D25">
        <v>400</v>
      </c>
      <c r="E25">
        <v>0</v>
      </c>
      <c r="F25">
        <v>1.18</v>
      </c>
      <c r="G25">
        <v>1.88</v>
      </c>
      <c r="H25">
        <v>10</v>
      </c>
      <c r="I25">
        <v>0</v>
      </c>
      <c r="J25">
        <v>-0.45</v>
      </c>
      <c r="K25">
        <v>0.1</v>
      </c>
      <c r="L25">
        <v>0.84</v>
      </c>
      <c r="M25">
        <v>0</v>
      </c>
      <c r="N25">
        <v>-4.4000000000000003E-3</v>
      </c>
      <c r="O25">
        <v>0</v>
      </c>
      <c r="P25">
        <v>0</v>
      </c>
      <c r="Q25">
        <v>0.4</v>
      </c>
      <c r="R25">
        <v>1.73</v>
      </c>
      <c r="S25">
        <v>1.2999999999999999E-3</v>
      </c>
      <c r="T25">
        <v>-0.505</v>
      </c>
      <c r="U25">
        <v>-9.8000000000000004E-2</v>
      </c>
      <c r="V25">
        <v>-0.25</v>
      </c>
      <c r="W25">
        <v>0</v>
      </c>
      <c r="X25">
        <v>0</v>
      </c>
      <c r="Y25">
        <v>0</v>
      </c>
      <c r="Z25">
        <v>0.112</v>
      </c>
      <c r="AA25">
        <v>0</v>
      </c>
      <c r="AB25">
        <v>-6.5379999999999994E-2</v>
      </c>
      <c r="AC25">
        <v>0.15742999999999999</v>
      </c>
      <c r="AD25">
        <v>0.3256</v>
      </c>
      <c r="AE25">
        <v>0.11715</v>
      </c>
      <c r="AF25">
        <v>0</v>
      </c>
      <c r="AG25">
        <v>1E-3</v>
      </c>
      <c r="AH25">
        <v>1.6000000000000001E-4</v>
      </c>
      <c r="AI25">
        <v>-2.7999999999999998E-4</v>
      </c>
      <c r="AJ25">
        <v>0</v>
      </c>
      <c r="AK25">
        <v>2.3000000000000001E-4</v>
      </c>
      <c r="AL25">
        <v>4.0000000000000001E-3</v>
      </c>
      <c r="AM25">
        <v>0</v>
      </c>
      <c r="AN25">
        <v>-2.1726899999999998</v>
      </c>
      <c r="AO25">
        <v>-1.8414600000000001</v>
      </c>
      <c r="AP25">
        <v>-2.09138</v>
      </c>
      <c r="AQ25">
        <v>-1.73678</v>
      </c>
      <c r="AR25">
        <v>-2.0804100000000001</v>
      </c>
      <c r="AS25">
        <v>-2.2697699999999998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0.51327</v>
      </c>
      <c r="BC25">
        <v>0.42709000000000003</v>
      </c>
      <c r="BE25">
        <f t="shared" si="13"/>
        <v>-0.505</v>
      </c>
      <c r="BF25">
        <f t="shared" si="14"/>
        <v>-0.39300000000000002</v>
      </c>
      <c r="BG25">
        <f t="shared" si="15"/>
        <v>-0.505</v>
      </c>
      <c r="BH25">
        <f t="shared" si="15"/>
        <v>-0.57038</v>
      </c>
      <c r="BI25">
        <f t="shared" si="15"/>
        <v>-0.34757000000000005</v>
      </c>
      <c r="BJ25">
        <f t="shared" si="15"/>
        <v>-0.1794</v>
      </c>
      <c r="BK25">
        <f t="shared" si="15"/>
        <v>-0.38785000000000003</v>
      </c>
      <c r="BL25">
        <f t="shared" si="4"/>
        <v>-4.4000000000000003E-3</v>
      </c>
      <c r="BM25">
        <f t="shared" si="4"/>
        <v>-3.4000000000000002E-3</v>
      </c>
      <c r="BN25">
        <f t="shared" si="4"/>
        <v>-4.2399999999999998E-3</v>
      </c>
      <c r="BO25">
        <f t="shared" si="4"/>
        <v>-4.6800000000000001E-3</v>
      </c>
      <c r="BP25">
        <f t="shared" si="4"/>
        <v>-4.4000000000000003E-3</v>
      </c>
      <c r="BQ25">
        <f t="shared" si="4"/>
        <v>-4.1700000000000001E-3</v>
      </c>
      <c r="BR25">
        <f t="shared" si="4"/>
        <v>-4.0000000000000018E-4</v>
      </c>
      <c r="BS25">
        <f t="shared" si="5"/>
        <v>0</v>
      </c>
      <c r="BT25">
        <f t="shared" si="5"/>
        <v>-2.1726899999999998</v>
      </c>
      <c r="BU25">
        <f t="shared" si="5"/>
        <v>-1.8414600000000001</v>
      </c>
      <c r="BV25">
        <f t="shared" si="5"/>
        <v>-2.09138</v>
      </c>
      <c r="BW25">
        <f t="shared" si="5"/>
        <v>-1.73678</v>
      </c>
      <c r="BX25">
        <f t="shared" si="5"/>
        <v>-2.0804100000000001</v>
      </c>
      <c r="BY25">
        <f t="shared" si="5"/>
        <v>-2.2697699999999998</v>
      </c>
      <c r="CA25">
        <f t="shared" si="6"/>
        <v>-0.505</v>
      </c>
      <c r="CD25">
        <f t="shared" si="7"/>
        <v>-0.505</v>
      </c>
      <c r="CE25">
        <f t="shared" si="8"/>
        <v>-0.39300000000000002</v>
      </c>
      <c r="CF25">
        <f t="shared" si="9"/>
        <v>-0.505</v>
      </c>
      <c r="CG25">
        <f t="shared" si="10"/>
        <v>-0.57038</v>
      </c>
      <c r="CH25">
        <f t="shared" si="11"/>
        <v>-0.34757000000000005</v>
      </c>
      <c r="CI25">
        <f t="shared" si="12"/>
        <v>-0.1794</v>
      </c>
      <c r="CJ25">
        <f t="shared" si="12"/>
        <v>-0.38785000000000003</v>
      </c>
    </row>
    <row r="26" spans="2:88" x14ac:dyDescent="0.15">
      <c r="B26">
        <v>10</v>
      </c>
      <c r="C26">
        <v>7.8</v>
      </c>
      <c r="D26">
        <v>400</v>
      </c>
      <c r="E26">
        <v>0</v>
      </c>
      <c r="F26">
        <v>1.18</v>
      </c>
      <c r="G26">
        <v>1.88</v>
      </c>
      <c r="H26">
        <v>10</v>
      </c>
      <c r="I26">
        <v>0</v>
      </c>
      <c r="J26">
        <v>-0.45</v>
      </c>
      <c r="K26">
        <v>0.1</v>
      </c>
      <c r="L26">
        <v>0.93</v>
      </c>
      <c r="M26">
        <v>0</v>
      </c>
      <c r="N26">
        <v>-4.4000000000000003E-3</v>
      </c>
      <c r="O26">
        <v>0</v>
      </c>
      <c r="P26">
        <v>0</v>
      </c>
      <c r="Q26">
        <v>0.4</v>
      </c>
      <c r="R26">
        <v>1.73</v>
      </c>
      <c r="S26">
        <v>0</v>
      </c>
      <c r="T26">
        <v>-0.45</v>
      </c>
      <c r="U26">
        <v>-9.8000000000000004E-2</v>
      </c>
      <c r="V26">
        <v>-0.25</v>
      </c>
      <c r="W26">
        <v>0</v>
      </c>
      <c r="X26">
        <v>0</v>
      </c>
      <c r="Y26">
        <v>0</v>
      </c>
      <c r="Z26">
        <v>0.1</v>
      </c>
      <c r="AA26">
        <v>0</v>
      </c>
      <c r="AB26">
        <v>-4.2029999999999998E-2</v>
      </c>
      <c r="AC26">
        <v>9.8049999999999998E-2</v>
      </c>
      <c r="AD26">
        <v>0.28295999999999999</v>
      </c>
      <c r="AE26">
        <v>0.10170999999999999</v>
      </c>
      <c r="AF26">
        <v>0</v>
      </c>
      <c r="AG26">
        <v>1.1299999999999999E-3</v>
      </c>
      <c r="AH26">
        <v>4.6600000000000001E-3</v>
      </c>
      <c r="AI26">
        <v>-8.0000000000000004E-4</v>
      </c>
      <c r="AJ26">
        <v>3.2000000000000003E-4</v>
      </c>
      <c r="AK26">
        <v>5.1000000000000004E-4</v>
      </c>
      <c r="AL26">
        <v>3.1700000000000001E-3</v>
      </c>
      <c r="AM26">
        <v>0</v>
      </c>
      <c r="AN26">
        <v>-2.7118199999999999</v>
      </c>
      <c r="AO26">
        <v>-2.3940899999999998</v>
      </c>
      <c r="AP26">
        <v>-2.4329700000000001</v>
      </c>
      <c r="AQ26">
        <v>-2.3008299999999999</v>
      </c>
      <c r="AR26">
        <v>-2.4790299999999998</v>
      </c>
      <c r="AS26">
        <v>-2.7354099999999999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0.46899999999999997</v>
      </c>
      <c r="BC26">
        <v>0.42410999999999999</v>
      </c>
      <c r="BE26">
        <f t="shared" si="13"/>
        <v>-0.45</v>
      </c>
      <c r="BF26">
        <f t="shared" si="14"/>
        <v>-0.35</v>
      </c>
      <c r="BG26">
        <f t="shared" si="15"/>
        <v>-0.45</v>
      </c>
      <c r="BH26">
        <f t="shared" si="15"/>
        <v>-0.49203000000000002</v>
      </c>
      <c r="BI26">
        <f t="shared" si="15"/>
        <v>-0.35194999999999999</v>
      </c>
      <c r="BJ26">
        <f t="shared" si="15"/>
        <v>-0.16704000000000002</v>
      </c>
      <c r="BK26">
        <f t="shared" si="15"/>
        <v>-0.34828999999999999</v>
      </c>
      <c r="BL26">
        <f t="shared" si="4"/>
        <v>-4.4000000000000003E-3</v>
      </c>
      <c r="BM26">
        <f t="shared" si="4"/>
        <v>-3.2700000000000003E-3</v>
      </c>
      <c r="BN26">
        <f t="shared" si="4"/>
        <v>2.5999999999999981E-4</v>
      </c>
      <c r="BO26">
        <f t="shared" si="4"/>
        <v>-5.2000000000000006E-3</v>
      </c>
      <c r="BP26">
        <f t="shared" si="4"/>
        <v>-4.0800000000000003E-3</v>
      </c>
      <c r="BQ26">
        <f t="shared" si="4"/>
        <v>-3.8900000000000002E-3</v>
      </c>
      <c r="BR26">
        <f t="shared" si="4"/>
        <v>-1.2300000000000002E-3</v>
      </c>
      <c r="BS26">
        <f t="shared" si="5"/>
        <v>0</v>
      </c>
      <c r="BT26">
        <f t="shared" si="5"/>
        <v>-2.7118199999999999</v>
      </c>
      <c r="BU26">
        <f t="shared" si="5"/>
        <v>-2.3940899999999998</v>
      </c>
      <c r="BV26">
        <f t="shared" si="5"/>
        <v>-2.4329700000000001</v>
      </c>
      <c r="BW26">
        <f t="shared" si="5"/>
        <v>-2.3008299999999999</v>
      </c>
      <c r="BX26">
        <f t="shared" si="5"/>
        <v>-2.4790299999999998</v>
      </c>
      <c r="BY26">
        <f t="shared" si="5"/>
        <v>-2.7354099999999999</v>
      </c>
      <c r="CA26">
        <f t="shared" si="6"/>
        <v>-0.45</v>
      </c>
      <c r="CD26">
        <f t="shared" si="7"/>
        <v>-0.45</v>
      </c>
      <c r="CE26">
        <f t="shared" si="8"/>
        <v>-0.35</v>
      </c>
      <c r="CF26">
        <f t="shared" si="9"/>
        <v>-0.45</v>
      </c>
      <c r="CG26">
        <f t="shared" si="10"/>
        <v>-0.49203000000000002</v>
      </c>
      <c r="CH26">
        <f t="shared" si="11"/>
        <v>-0.35194999999999999</v>
      </c>
      <c r="CI26">
        <f t="shared" si="12"/>
        <v>-0.16704000000000002</v>
      </c>
      <c r="CJ26">
        <f t="shared" si="12"/>
        <v>-0.34828999999999999</v>
      </c>
    </row>
    <row r="29" spans="2:88" x14ac:dyDescent="0.15">
      <c r="AN29">
        <v>32</v>
      </c>
    </row>
    <row r="30" spans="2:88" x14ac:dyDescent="0.15">
      <c r="AN30">
        <v>1.9339599999999999</v>
      </c>
    </row>
    <row r="31" spans="2:88" x14ac:dyDescent="0.15">
      <c r="AN31">
        <v>1.9616400000000001</v>
      </c>
    </row>
    <row r="32" spans="2:88" x14ac:dyDescent="0.15">
      <c r="AN32">
        <v>2.0098799999999999</v>
      </c>
    </row>
    <row r="33" spans="40:40" x14ac:dyDescent="0.15">
      <c r="AN33">
        <v>2.1411500000000001</v>
      </c>
    </row>
    <row r="34" spans="40:40" x14ac:dyDescent="0.15">
      <c r="AN34">
        <v>2.4920499999999999</v>
      </c>
    </row>
    <row r="35" spans="40:40" x14ac:dyDescent="0.15">
      <c r="AN35">
        <v>2.7389299999999999</v>
      </c>
    </row>
    <row r="36" spans="40:40" x14ac:dyDescent="0.15">
      <c r="AN36">
        <v>3.1357499999999998</v>
      </c>
    </row>
    <row r="37" spans="40:40" x14ac:dyDescent="0.15">
      <c r="AN37">
        <v>3.0273300000000001</v>
      </c>
    </row>
    <row r="38" spans="40:40" x14ac:dyDescent="0.15">
      <c r="AN38">
        <v>2.79942</v>
      </c>
    </row>
    <row r="39" spans="40:40" x14ac:dyDescent="0.15">
      <c r="AN39">
        <v>2.5851899999999999</v>
      </c>
    </row>
    <row r="40" spans="40:40" x14ac:dyDescent="0.15">
      <c r="AN40">
        <v>2.3403</v>
      </c>
    </row>
    <row r="41" spans="40:40" x14ac:dyDescent="0.15">
      <c r="AN41">
        <v>2.2571300000000001</v>
      </c>
    </row>
    <row r="42" spans="40:40" x14ac:dyDescent="0.15">
      <c r="AN42">
        <v>2.1331199999999999</v>
      </c>
    </row>
    <row r="43" spans="40:40" x14ac:dyDescent="0.15">
      <c r="AN43">
        <v>1.9546399999999999</v>
      </c>
    </row>
    <row r="44" spans="40:40" x14ac:dyDescent="0.15">
      <c r="AN44">
        <v>1.6202700000000001</v>
      </c>
    </row>
    <row r="45" spans="40:40" x14ac:dyDescent="0.15">
      <c r="AN45">
        <v>1.1377999999999999</v>
      </c>
    </row>
    <row r="46" spans="40:40" x14ac:dyDescent="0.15">
      <c r="AN46">
        <v>0.69130000000000003</v>
      </c>
    </row>
    <row r="47" spans="40:40" x14ac:dyDescent="0.15">
      <c r="AN47">
        <v>8.8770000000000002E-2</v>
      </c>
    </row>
    <row r="48" spans="40:40" x14ac:dyDescent="0.15">
      <c r="AN48">
        <v>-0.47112999999999999</v>
      </c>
    </row>
    <row r="49" spans="40:40" x14ac:dyDescent="0.15">
      <c r="AN49">
        <v>-1.11486</v>
      </c>
    </row>
    <row r="50" spans="40:40" x14ac:dyDescent="0.15">
      <c r="AN50">
        <v>-1.6745399999999999</v>
      </c>
    </row>
    <row r="51" spans="40:40" x14ac:dyDescent="0.15">
      <c r="AN51">
        <v>-1.9929600000000001</v>
      </c>
    </row>
    <row r="52" spans="40:40" x14ac:dyDescent="0.15">
      <c r="AN52">
        <v>-2.4170600000000002</v>
      </c>
    </row>
    <row r="53" spans="40:40" x14ac:dyDescent="0.15">
      <c r="AN53">
        <v>-3.0209000000000001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37"/>
  <sheetViews>
    <sheetView zoomScale="139" workbookViewId="0">
      <selection activeCell="AH10" sqref="AH10"/>
    </sheetView>
  </sheetViews>
  <sheetFormatPr baseColWidth="10" defaultRowHeight="13" x14ac:dyDescent="0.15"/>
  <cols>
    <col min="1" max="1" width="30.1640625" style="1" customWidth="1"/>
    <col min="6" max="6" width="13.83203125" customWidth="1"/>
    <col min="7" max="7" width="13.5" bestFit="1" customWidth="1"/>
    <col min="8" max="8" width="2.5" style="7" customWidth="1"/>
    <col min="42" max="42" width="11.83203125" bestFit="1" customWidth="1"/>
    <col min="43" max="43" width="19.5" bestFit="1" customWidth="1"/>
    <col min="44" max="44" width="18.5" bestFit="1" customWidth="1"/>
    <col min="45" max="45" width="8.83203125" customWidth="1"/>
    <col min="46" max="46" width="18.5" bestFit="1" customWidth="1"/>
    <col min="47" max="47" width="18.6640625" style="1" bestFit="1" customWidth="1"/>
  </cols>
  <sheetData>
    <row r="1" spans="1:60" x14ac:dyDescent="0.15">
      <c r="A1" s="2" t="s">
        <v>0</v>
      </c>
    </row>
    <row r="2" spans="1:60" x14ac:dyDescent="0.15">
      <c r="A2" s="2" t="s">
        <v>69</v>
      </c>
      <c r="R2">
        <f>'CAS Adjust Terms'!H4</f>
        <v>6.4533606602325327E-3</v>
      </c>
      <c r="AP2" s="22" t="s">
        <v>83</v>
      </c>
      <c r="AQ2" s="5">
        <f>'CAS Adjust Terms'!C4</f>
        <v>1.0439800700468573</v>
      </c>
      <c r="AR2" s="5">
        <f>'CAS Adjust Terms'!D4</f>
        <v>0.83429221602169701</v>
      </c>
    </row>
    <row r="3" spans="1:60" x14ac:dyDescent="0.15">
      <c r="A3" s="17">
        <v>40178</v>
      </c>
      <c r="R3">
        <f>'CAS Adjust Terms'!H5</f>
        <v>7.3215008562570573E-3</v>
      </c>
      <c r="AK3">
        <f>LN(AK10)</f>
        <v>-5.8774464672923132</v>
      </c>
    </row>
    <row r="4" spans="1:60" x14ac:dyDescent="0.15">
      <c r="D4" s="15" t="s">
        <v>70</v>
      </c>
      <c r="E4" s="5">
        <f>EXP(-2.795+0.426*($B$10-7.1)+1.537*LN($E$10/0.05)+0.185*LN($E$24/0.045)-0.362*LN($B$16/412))</f>
        <v>6.3977237728228857E-4</v>
      </c>
      <c r="R4">
        <f>'CAS Adjust Terms'!H6</f>
        <v>8.4224197476879276E-3</v>
      </c>
    </row>
    <row r="5" spans="1:60" x14ac:dyDescent="0.15">
      <c r="A5" s="10"/>
      <c r="B5" s="15"/>
      <c r="C5" s="15"/>
      <c r="D5" s="15"/>
      <c r="E5" s="5"/>
      <c r="P5">
        <v>-1.0369999999999999</v>
      </c>
      <c r="R5">
        <f>'CAS Adjust Terms'!H7</f>
        <v>1.0036265904812186E-2</v>
      </c>
      <c r="T5">
        <v>-7.1399999999999996E-3</v>
      </c>
    </row>
    <row r="6" spans="1:60" x14ac:dyDescent="0.15">
      <c r="E6" s="5">
        <f>(-2.795+0.426*($B$10-7.1)+1.537*LN($E$10/0.05)+0.185*LN($E$24/0.045)-0.362*LN($B$16/412))</f>
        <v>-7.3543981053691754</v>
      </c>
      <c r="T6" s="15">
        <v>-7.3000000000000001E-3</v>
      </c>
      <c r="AB6">
        <v>-0.48520000000000002</v>
      </c>
    </row>
    <row r="7" spans="1:60" x14ac:dyDescent="0.15">
      <c r="P7">
        <v>-1.1200000000000001</v>
      </c>
      <c r="T7">
        <v>-8.3000000000000001E-3</v>
      </c>
      <c r="AR7" s="1" t="s">
        <v>49</v>
      </c>
    </row>
    <row r="8" spans="1:60" x14ac:dyDescent="0.15">
      <c r="F8" s="1" t="s">
        <v>51</v>
      </c>
      <c r="AR8" s="1" t="s">
        <v>38</v>
      </c>
    </row>
    <row r="9" spans="1:60" x14ac:dyDescent="0.15">
      <c r="A9" s="3" t="s">
        <v>1</v>
      </c>
      <c r="B9" s="3" t="s">
        <v>2</v>
      </c>
      <c r="D9" s="1" t="s">
        <v>10</v>
      </c>
      <c r="E9" s="1" t="s">
        <v>12</v>
      </c>
      <c r="F9" s="1" t="s">
        <v>52</v>
      </c>
      <c r="G9" s="1" t="s">
        <v>13</v>
      </c>
      <c r="I9" s="1" t="s">
        <v>10</v>
      </c>
      <c r="J9" t="s">
        <v>14</v>
      </c>
      <c r="K9" t="s">
        <v>15</v>
      </c>
      <c r="L9" t="s">
        <v>16</v>
      </c>
      <c r="M9" t="s">
        <v>17</v>
      </c>
      <c r="N9" t="s">
        <v>18</v>
      </c>
      <c r="O9" s="4" t="s">
        <v>19</v>
      </c>
      <c r="P9" t="s">
        <v>20</v>
      </c>
      <c r="Q9" t="s">
        <v>21</v>
      </c>
      <c r="R9" t="s">
        <v>22</v>
      </c>
      <c r="S9" t="s">
        <v>23</v>
      </c>
      <c r="T9" s="8" t="s">
        <v>24</v>
      </c>
      <c r="U9" s="4" t="s">
        <v>25</v>
      </c>
      <c r="V9" s="4" t="s">
        <v>26</v>
      </c>
      <c r="W9" t="s">
        <v>27</v>
      </c>
      <c r="X9" s="4" t="s">
        <v>28</v>
      </c>
      <c r="Y9" s="8" t="s">
        <v>29</v>
      </c>
      <c r="Z9" s="5" t="s">
        <v>30</v>
      </c>
      <c r="AA9" s="8" t="s">
        <v>31</v>
      </c>
      <c r="AB9" s="4" t="s">
        <v>32</v>
      </c>
      <c r="AC9" s="4" t="s">
        <v>33</v>
      </c>
      <c r="AD9" s="4" t="s">
        <v>34</v>
      </c>
      <c r="AE9" s="4" t="s">
        <v>35</v>
      </c>
      <c r="AF9" s="4" t="s">
        <v>36</v>
      </c>
      <c r="AG9" s="4" t="s">
        <v>37</v>
      </c>
      <c r="AH9" s="4" t="s">
        <v>38</v>
      </c>
      <c r="AI9" s="18" t="s">
        <v>71</v>
      </c>
      <c r="AJ9" s="18" t="s">
        <v>72</v>
      </c>
      <c r="AK9" s="4" t="s">
        <v>39</v>
      </c>
      <c r="AL9" s="11" t="s">
        <v>13</v>
      </c>
      <c r="AM9" s="11" t="s">
        <v>45</v>
      </c>
      <c r="AN9" s="11" t="s">
        <v>44</v>
      </c>
      <c r="AO9" s="11" t="s">
        <v>40</v>
      </c>
      <c r="AP9" s="11" t="s">
        <v>42</v>
      </c>
      <c r="AQ9" s="11" t="s">
        <v>43</v>
      </c>
      <c r="AR9" s="11" t="s">
        <v>47</v>
      </c>
      <c r="AS9" s="11" t="s">
        <v>48</v>
      </c>
      <c r="AT9" s="11" t="s">
        <v>47</v>
      </c>
      <c r="AU9" s="24" t="s">
        <v>79</v>
      </c>
      <c r="AV9" s="24" t="s">
        <v>78</v>
      </c>
      <c r="AW9" s="24" t="s">
        <v>41</v>
      </c>
      <c r="AX9" s="24" t="s">
        <v>84</v>
      </c>
      <c r="BD9" s="22" t="s">
        <v>85</v>
      </c>
      <c r="BE9" s="22" t="s">
        <v>91</v>
      </c>
      <c r="BF9" s="22" t="s">
        <v>86</v>
      </c>
      <c r="BG9" s="22" t="s">
        <v>87</v>
      </c>
    </row>
    <row r="10" spans="1:60" x14ac:dyDescent="0.15">
      <c r="A10" s="1" t="s">
        <v>3</v>
      </c>
      <c r="B10" s="1">
        <f>'CAS Adjust Terms'!B5</f>
        <v>7.2</v>
      </c>
      <c r="D10" s="14">
        <v>0.01</v>
      </c>
      <c r="E10" s="10">
        <f>AK10*EXP(B$17*IF(B$18=0,F10,G10))</f>
        <v>2.801930970147895E-3</v>
      </c>
      <c r="F10" s="11">
        <v>0.6</v>
      </c>
      <c r="G10" s="9">
        <f>AL10</f>
        <v>0.73817342135842301</v>
      </c>
      <c r="I10" s="6">
        <v>0</v>
      </c>
      <c r="J10">
        <f>'model coef'!D3</f>
        <v>865.1</v>
      </c>
      <c r="K10">
        <f>'model coef'!E3</f>
        <v>-1.1859999999999999</v>
      </c>
      <c r="L10">
        <f>'model coef'!F3</f>
        <v>1.18</v>
      </c>
      <c r="M10">
        <f>'model coef'!G3</f>
        <v>1.88</v>
      </c>
      <c r="N10">
        <f>'model coef'!H3</f>
        <v>10</v>
      </c>
      <c r="O10" s="5">
        <f>'model coef'!BT3</f>
        <v>2.3404699999999998</v>
      </c>
      <c r="P10" s="37">
        <v>-1.044</v>
      </c>
      <c r="Q10">
        <f>'model coef'!K3</f>
        <v>0.1</v>
      </c>
      <c r="R10">
        <f>'model coef'!L3</f>
        <v>0.59</v>
      </c>
      <c r="S10">
        <f>'model coef'!M3</f>
        <v>0</v>
      </c>
      <c r="T10" s="15">
        <f>'model coef'!BM3</f>
        <v>-7.0499999999999998E-3</v>
      </c>
      <c r="U10">
        <f>'model coef'!O3</f>
        <v>0</v>
      </c>
      <c r="V10">
        <f>'model coef'!P3</f>
        <v>0</v>
      </c>
      <c r="W10">
        <f>'model coef'!Q3</f>
        <v>0.4</v>
      </c>
      <c r="X10">
        <f>'model coef'!R3</f>
        <v>1.73</v>
      </c>
      <c r="Y10" s="8">
        <f>'model coef'!S3</f>
        <v>1.7000000000000001E-2</v>
      </c>
      <c r="Z10" s="5">
        <f>'model coef'!BF3</f>
        <v>0.81799999999999995</v>
      </c>
      <c r="AA10">
        <f>'model coef'!U3</f>
        <v>-1.35E-2</v>
      </c>
      <c r="AB10" s="5">
        <f>'model coef'!V3</f>
        <v>-0.223</v>
      </c>
      <c r="AC10">
        <f>'model coef'!W3</f>
        <v>0</v>
      </c>
      <c r="AD10">
        <f>'model coef'!X3</f>
        <v>0</v>
      </c>
      <c r="AE10" s="5">
        <v>0.6</v>
      </c>
      <c r="AF10" s="5">
        <v>0.43</v>
      </c>
      <c r="AG10" s="5">
        <f>SQRT(AE10*AE10+AF10*AF10)</f>
        <v>0.73817342135842301</v>
      </c>
      <c r="AH10">
        <f>EXP($AN10+$AO10+$AP10+$AQ10+$AR10 +IF($B$14=0,$AQ$2,$AR$2))</f>
        <v>3.0309325951756588E-3</v>
      </c>
      <c r="AI10">
        <f>'model coef'!BA3</f>
        <v>0</v>
      </c>
      <c r="AJ10">
        <v>0</v>
      </c>
      <c r="AK10">
        <f>EXP($AN10+$AO10+$AP10+$AQ10+$AT10)</f>
        <v>2.801930970147895E-3</v>
      </c>
      <c r="AL10" s="1">
        <f>SQRT($AE10*$AE10+$AF10*$AF10)</f>
        <v>0.73817342135842301</v>
      </c>
      <c r="AM10" s="12">
        <f>($B$22+$N10*EXP(($B$10-6)*$W10))</f>
        <v>316.16074402192896</v>
      </c>
      <c r="AN10" s="1">
        <f>$O10+($P10+$AB10*$B$14+$Q10*($B$10-7.8))*LN($AM10)+IF($B$14=0,$T10,$T10+$AJ10)*$B$22+$X10*$B$14+IF($B$14=1,$R10*$AX10,0)</f>
        <v>-6.2730747689568034</v>
      </c>
      <c r="AO10" s="1">
        <f>IF($B$10&gt;$AW10,$S10*($B$10-$AW10)+$AA10*(10-$B$10)^2,IF($B$14=0,$R10+$AI10,$R10)*($B$10-$AW10)+$AA10*(10-$B$10)^2)</f>
        <v>-0.10583999999999999</v>
      </c>
      <c r="AP10" s="1">
        <f>IF($B$14=1,$Y10*(IF($B$13&lt;100,$B$13,100)-60),0)</f>
        <v>-0.17</v>
      </c>
      <c r="AQ10" s="1">
        <f>IF(B$15=1,IF(B$14=1,U10+V10*LN(MAX(B$12,85)/40),AC10+AD10*LN(MAX(B$11,100)/40)),0)</f>
        <v>0</v>
      </c>
      <c r="AR10" s="1">
        <f>Z10*LN(1000/J10)+K10*L10*LN(1000/J10)</f>
        <v>-8.4262366695826652E-2</v>
      </c>
      <c r="AS10" s="1">
        <f>IF(B$16&gt;1000,1000,B$16)</f>
        <v>270</v>
      </c>
      <c r="AT10" s="1">
        <f>IF($B$16&gt;=$J10,$Z10*LN($AS10/$J10)+$K10*$L10*LN($AS10/$J10),$Z10*LN($AS10/$J10)-$K10*LN($AH$10+$M10)+$K10*LN($AH$10+$M10*($AS10/$J10)^$L10))</f>
        <v>0.67146830166448979</v>
      </c>
      <c r="AU10">
        <f>'model coef'!$C3</f>
        <v>8.1999999999999993</v>
      </c>
      <c r="AV10">
        <v>7.2</v>
      </c>
      <c r="AW10">
        <f>IF($B$14=0,$AU10,$AV10)</f>
        <v>7.2</v>
      </c>
      <c r="AX10">
        <f>AV10-AU10</f>
        <v>-0.99999999999999911</v>
      </c>
      <c r="BA10" s="5">
        <f>I10</f>
        <v>0</v>
      </c>
      <c r="BB10">
        <f>$K10*$L10+$Z10</f>
        <v>-0.58147999999999989</v>
      </c>
      <c r="BD10">
        <f>'model coef'!J3</f>
        <v>-0.97699999999999998</v>
      </c>
      <c r="BE10">
        <f>BD10-($AU10-7.8)*$Q10</f>
        <v>-1.0169999999999999</v>
      </c>
      <c r="BF10">
        <v>-6.8999999999999999E-3</v>
      </c>
      <c r="BH10">
        <f>$K10*$L10+Z10</f>
        <v>-0.58147999999999989</v>
      </c>
    </row>
    <row r="11" spans="1:60" x14ac:dyDescent="0.15">
      <c r="A11" s="1" t="s">
        <v>4</v>
      </c>
      <c r="B11" s="1">
        <f>'CAS Adjust Terms'!B7</f>
        <v>300</v>
      </c>
      <c r="D11" s="14">
        <v>0.02</v>
      </c>
      <c r="E11" s="10">
        <f t="shared" ref="E11:E33" si="0">AK11*EXP(B$17*IF(B$18=0,F11,G11))</f>
        <v>3.3170682300916175E-3</v>
      </c>
      <c r="F11" s="11">
        <v>0.6</v>
      </c>
      <c r="G11" s="9">
        <f>G10</f>
        <v>0.73817342135842301</v>
      </c>
      <c r="I11" s="6">
        <v>0.02</v>
      </c>
      <c r="J11">
        <f>'model coef'!D4</f>
        <v>865.1</v>
      </c>
      <c r="K11">
        <f>'model coef'!E4</f>
        <v>-1.2190000000000001</v>
      </c>
      <c r="L11">
        <f>'model coef'!F4</f>
        <v>1.18</v>
      </c>
      <c r="M11">
        <f>'model coef'!G4</f>
        <v>1.88</v>
      </c>
      <c r="N11">
        <f>'model coef'!H4</f>
        <v>10</v>
      </c>
      <c r="O11" s="5">
        <f>'model coef'!BT4</f>
        <v>2.3600500000000002</v>
      </c>
      <c r="P11">
        <f t="shared" ref="P11:P33" si="1">$BE11</f>
        <v>-1.044</v>
      </c>
      <c r="Q11">
        <f>'model coef'!K4</f>
        <v>0.1</v>
      </c>
      <c r="R11">
        <f>'model coef'!L4</f>
        <v>0.59</v>
      </c>
      <c r="S11">
        <f>'model coef'!M4</f>
        <v>0</v>
      </c>
      <c r="T11" s="15">
        <f>'model coef'!BM4</f>
        <v>-7.0699999999999999E-3</v>
      </c>
      <c r="U11">
        <f>'model coef'!O4</f>
        <v>0</v>
      </c>
      <c r="V11">
        <f>'model coef'!P4</f>
        <v>0</v>
      </c>
      <c r="W11">
        <f>'model coef'!Q4</f>
        <v>0.4</v>
      </c>
      <c r="X11">
        <f>'model coef'!R4</f>
        <v>1.73</v>
      </c>
      <c r="Y11" s="8">
        <f>'model coef'!S4</f>
        <v>1.7000000000000001E-2</v>
      </c>
      <c r="Z11" s="5">
        <f>'model coef'!BF4</f>
        <v>0.85699999999999998</v>
      </c>
      <c r="AA11">
        <f>'model coef'!U4</f>
        <v>-1.35E-2</v>
      </c>
      <c r="AB11" s="5">
        <f>'model coef'!V4</f>
        <v>-0.19600000000000001</v>
      </c>
      <c r="AC11">
        <f>'model coef'!W4</f>
        <v>0</v>
      </c>
      <c r="AD11">
        <f>'model coef'!X4</f>
        <v>0</v>
      </c>
      <c r="AE11" s="5">
        <v>0.6</v>
      </c>
      <c r="AF11" s="5">
        <v>0.43</v>
      </c>
      <c r="AG11" s="5">
        <f>SQRT(AE11*AE11+AF11*AF11)</f>
        <v>0.73817342135842301</v>
      </c>
      <c r="AI11">
        <f>'model coef'!BA4</f>
        <v>0</v>
      </c>
      <c r="AJ11">
        <v>0</v>
      </c>
      <c r="AK11">
        <f t="shared" ref="AK11:AK33" si="2">EXP($AN11+$AO11+$AP11+$AQ11+$AT11)</f>
        <v>3.3170682300916175E-3</v>
      </c>
      <c r="AL11" s="1">
        <f t="shared" ref="AL11:AL33" si="3">SQRT($AE11*$AE11+$AF11*$AF11)</f>
        <v>0.73817342135842301</v>
      </c>
      <c r="AM11" s="12">
        <f t="shared" ref="AM11:AM33" si="4">($B$22+$N11*EXP(($B$10-6)*$W11))</f>
        <v>316.16074402192896</v>
      </c>
      <c r="AN11" s="1">
        <f>$O11+($P11+$AB11*$B$14+$Q11*($B$10-7.8))*LN($AM11)+IF($B$14=0,$T11,$T11+$AJ11)*$B$22+$X11*$B$14+IF($B$14=1,$R11*$AX11,0)</f>
        <v>-6.1040759982244488</v>
      </c>
      <c r="AO11" s="1">
        <f>IF($B$10&gt;$AW11,$S11*($B$10-$AW11)+$AA11*(10-$B$10)^2,IF($B$14=0,$R11+$AI11,$R11)*($B$10-$AW11)+$AA11*(10-$B$10)^2)</f>
        <v>-0.10583999999999999</v>
      </c>
      <c r="AP11" s="1">
        <f t="shared" ref="AP11:AP33" si="5">IF($B$14=1,$Y11*(IF($B$13&lt;100,$B$13,100)-60),0)</f>
        <v>-0.17</v>
      </c>
      <c r="AQ11" s="1">
        <f>IF(B$15=1,IF(B$14=1,U11+V11*LN(MAX(B$12,85)/40),AC11+AD11*LN(MAX(B$11,100)/40)),0)</f>
        <v>0</v>
      </c>
      <c r="AR11" s="1"/>
      <c r="AS11" s="1">
        <f>IF(B$16&gt;1000,1000,B$16)</f>
        <v>270</v>
      </c>
      <c r="AT11" s="1">
        <f>IF($B$16&gt;=$J11,$Z11*LN($AS11/$J11)+$K11*$L11*LN($AS11/$J11),$Z11*LN($AS11/$J11)-$K11*LN($AH$10+$M11)+$K11*LN($AH$10+$M11*($AS11/$J11)^$L11))</f>
        <v>0.6712420488152725</v>
      </c>
      <c r="AU11">
        <f>'model coef'!$C4</f>
        <v>8.1999999999999993</v>
      </c>
      <c r="AV11">
        <v>7.2</v>
      </c>
      <c r="AW11">
        <f t="shared" ref="AW11:AW33" si="6">IF($B$14=0,$AU11,$AV11)</f>
        <v>7.2</v>
      </c>
      <c r="AX11">
        <f t="shared" ref="AX11:AX34" si="7">AV11-AU11</f>
        <v>-0.99999999999999911</v>
      </c>
      <c r="BA11" s="5">
        <f t="shared" ref="BA11:BA37" si="8">I11</f>
        <v>0.02</v>
      </c>
      <c r="BB11">
        <f t="shared" ref="BB11:BB37" si="9">$K11*$L11+$Z11</f>
        <v>-0.58142000000000005</v>
      </c>
      <c r="BD11">
        <f>'model coef'!J4</f>
        <v>-1.004</v>
      </c>
      <c r="BE11">
        <f t="shared" ref="BE11:BE33" si="10">BD11-($AU11-7.8)*$Q11</f>
        <v>-1.044</v>
      </c>
      <c r="BF11">
        <v>-6.8999999999999999E-3</v>
      </c>
      <c r="BH11">
        <f t="shared" ref="BH11:BH33" si="11">$K11*$L11+Z11</f>
        <v>-0.58142000000000005</v>
      </c>
    </row>
    <row r="12" spans="1:60" x14ac:dyDescent="0.15">
      <c r="A12" s="1" t="s">
        <v>5</v>
      </c>
      <c r="B12" s="1">
        <f>B11</f>
        <v>300</v>
      </c>
      <c r="D12" s="14">
        <v>0.03</v>
      </c>
      <c r="E12" s="10">
        <f t="shared" si="0"/>
        <v>4.1584269299889086E-3</v>
      </c>
      <c r="F12" s="11">
        <v>0.6</v>
      </c>
      <c r="G12" s="9">
        <f>G11</f>
        <v>0.73817342135842301</v>
      </c>
      <c r="I12" s="6">
        <v>0.03</v>
      </c>
      <c r="J12">
        <f>'model coef'!D5</f>
        <v>907.8</v>
      </c>
      <c r="K12">
        <f>'model coef'!E5</f>
        <v>-1.2729999999999999</v>
      </c>
      <c r="L12">
        <f>'model coef'!F5</f>
        <v>1.18</v>
      </c>
      <c r="M12">
        <f>'model coef'!G5</f>
        <v>1.88</v>
      </c>
      <c r="N12">
        <f>'model coef'!H5</f>
        <v>10</v>
      </c>
      <c r="O12" s="5">
        <f>'model coef'!BT5</f>
        <v>2.3839600000000001</v>
      </c>
      <c r="P12" s="37">
        <v>-1.08</v>
      </c>
      <c r="Q12">
        <f>'model coef'!K5</f>
        <v>0.1</v>
      </c>
      <c r="R12">
        <f>'model coef'!L5</f>
        <v>0.59</v>
      </c>
      <c r="S12">
        <f>'model coef'!M5</f>
        <v>0</v>
      </c>
      <c r="T12" s="41">
        <f>-0.0071</f>
        <v>-7.1000000000000004E-3</v>
      </c>
      <c r="U12">
        <f>'model coef'!O5</f>
        <v>0</v>
      </c>
      <c r="V12">
        <f>'model coef'!P5</f>
        <v>0</v>
      </c>
      <c r="W12">
        <f>'model coef'!Q5</f>
        <v>0.4</v>
      </c>
      <c r="X12">
        <f>'model coef'!R5</f>
        <v>1.73</v>
      </c>
      <c r="Y12" s="8">
        <f>'model coef'!S5</f>
        <v>1.7000000000000001E-2</v>
      </c>
      <c r="Z12" s="5">
        <f>'model coef'!BF5</f>
        <v>0.92099999999999993</v>
      </c>
      <c r="AA12">
        <f>'model coef'!U5</f>
        <v>-1.35E-2</v>
      </c>
      <c r="AB12" s="5">
        <f>'model coef'!V5</f>
        <v>-0.128</v>
      </c>
      <c r="AC12">
        <f>'model coef'!W5</f>
        <v>0</v>
      </c>
      <c r="AD12">
        <f>'model coef'!X5</f>
        <v>0</v>
      </c>
      <c r="AE12" s="5">
        <v>0.6</v>
      </c>
      <c r="AF12" s="5">
        <v>0.43</v>
      </c>
      <c r="AG12" s="5">
        <f>SQRT(AE12*AE12+AF12*AF12)</f>
        <v>0.73817342135842301</v>
      </c>
      <c r="AI12">
        <f>'model coef'!BA5</f>
        <v>0</v>
      </c>
      <c r="AJ12">
        <v>0</v>
      </c>
      <c r="AK12">
        <f t="shared" si="2"/>
        <v>4.1584269299889086E-3</v>
      </c>
      <c r="AL12" s="1">
        <f t="shared" si="3"/>
        <v>0.73817342135842301</v>
      </c>
      <c r="AM12" s="12">
        <f t="shared" si="4"/>
        <v>316.16074402192896</v>
      </c>
      <c r="AN12" s="1">
        <f t="shared" ref="AN12:AN32" si="12">$O12+($P12+$AB12*$B$14+$Q12*($B$10-7.8))*LN($AM12)+IF($B$14=0,$T12,$T12+$AJ12)*$B$22+$X12*$B$14+IF($B$14=1,$R12*$AX12,0)</f>
        <v>-5.9049659736527715</v>
      </c>
      <c r="AO12" s="1">
        <f>IF($B$10&gt;$AW12,$S12*($B$10-$AW12)+$AA12*(10-$B$10)^2,IF($B$14=0,$R12+$AI12,$R12)*($B$10-$AW12)+$AA12*(10-$B$10)^2)</f>
        <v>-0.10583999999999999</v>
      </c>
      <c r="AP12" s="1">
        <f t="shared" si="5"/>
        <v>-0.17</v>
      </c>
      <c r="AQ12" s="1">
        <f>IF(B$15=1,IF(B$14=1,U12+V12*LN(MAX(B$12,85)/40),AC12+AD12*LN(MAX(B$11,100)/40)),0)</f>
        <v>0</v>
      </c>
      <c r="AR12" s="1"/>
      <c r="AS12" s="1">
        <f>IF(B$16&gt;1000,1000,B$16)</f>
        <v>270</v>
      </c>
      <c r="AT12" s="1">
        <f t="shared" ref="AT12:AT33" si="13">IF($B$16&gt;=$J12,$Z12*LN($AS12/$J12)+$K12*$L12*LN($AS12/$J12),$Z12*LN($AS12/$J12)-$K12*LN($AH$10+$M12)+$K12*LN($AH$10+$M12*($AS12/$J12)^$L12))</f>
        <v>0.69818755560056633</v>
      </c>
      <c r="AU12">
        <f>'model coef'!$C5</f>
        <v>8.1999999999999993</v>
      </c>
      <c r="AV12">
        <v>7.2</v>
      </c>
      <c r="AW12">
        <f t="shared" si="6"/>
        <v>7.2</v>
      </c>
      <c r="AX12">
        <f t="shared" ref="AX12" si="14">AV12-AU12</f>
        <v>-0.99999999999999911</v>
      </c>
      <c r="BA12" s="5">
        <f t="shared" ref="BA12" si="15">I12</f>
        <v>0.03</v>
      </c>
      <c r="BB12">
        <f t="shared" si="9"/>
        <v>-0.58113999999999988</v>
      </c>
      <c r="BD12">
        <f>'model coef'!J5</f>
        <v>-1.0720000000000001</v>
      </c>
      <c r="BE12">
        <f t="shared" si="10"/>
        <v>-1.1120000000000001</v>
      </c>
      <c r="BF12">
        <v>-6.8999999999999999E-3</v>
      </c>
      <c r="BH12">
        <f t="shared" si="11"/>
        <v>-0.58113999999999988</v>
      </c>
    </row>
    <row r="13" spans="1:60" x14ac:dyDescent="0.15">
      <c r="A13" s="1" t="s">
        <v>6</v>
      </c>
      <c r="B13" s="1">
        <f>'CAS Adjust Terms'!B8</f>
        <v>50</v>
      </c>
      <c r="D13" s="14">
        <v>0.05</v>
      </c>
      <c r="E13" s="10">
        <f t="shared" si="0"/>
        <v>3.7817799845639775E-3</v>
      </c>
      <c r="F13" s="11">
        <v>0.6</v>
      </c>
      <c r="G13" s="9">
        <f t="shared" ref="G13:G33" si="16">AL13</f>
        <v>0.73817342135842301</v>
      </c>
      <c r="I13" s="6">
        <v>0.05</v>
      </c>
      <c r="J13">
        <f>'model coef'!D6</f>
        <v>1053.5</v>
      </c>
      <c r="K13">
        <f>'model coef'!E6</f>
        <v>-1.3460000000000001</v>
      </c>
      <c r="L13">
        <f>'model coef'!F6</f>
        <v>1.18</v>
      </c>
      <c r="M13">
        <f>'model coef'!G6</f>
        <v>1.88</v>
      </c>
      <c r="N13">
        <f>'model coef'!H6</f>
        <v>10</v>
      </c>
      <c r="O13" s="5">
        <f>'model coef'!BT6</f>
        <v>2.44598</v>
      </c>
      <c r="P13">
        <f t="shared" si="1"/>
        <v>-1.1100000000000001</v>
      </c>
      <c r="Q13">
        <f>'model coef'!K6</f>
        <v>0.1</v>
      </c>
      <c r="R13">
        <f>'model coef'!L6</f>
        <v>0.59</v>
      </c>
      <c r="S13">
        <f>'model coef'!M6</f>
        <v>0</v>
      </c>
      <c r="T13" s="41">
        <f>-0.00725</f>
        <v>-7.2500000000000004E-3</v>
      </c>
      <c r="U13">
        <f>'model coef'!O6</f>
        <v>0</v>
      </c>
      <c r="V13">
        <f>'model coef'!P6</f>
        <v>0</v>
      </c>
      <c r="W13">
        <f>'model coef'!Q6</f>
        <v>0.4</v>
      </c>
      <c r="X13">
        <f>'model coef'!R6</f>
        <v>1.73</v>
      </c>
      <c r="Y13" s="8">
        <f>'model coef'!S6</f>
        <v>1.7999999999999999E-2</v>
      </c>
      <c r="Z13" s="5">
        <f>'model coef'!BF6</f>
        <v>1.0070000000000001</v>
      </c>
      <c r="AA13">
        <f>'model coef'!U6</f>
        <v>-1.38E-2</v>
      </c>
      <c r="AB13" s="5">
        <f>'model coef'!V6</f>
        <v>-0.13</v>
      </c>
      <c r="AC13">
        <f>'model coef'!W6</f>
        <v>0</v>
      </c>
      <c r="AD13">
        <f>'model coef'!X6</f>
        <v>0</v>
      </c>
      <c r="AE13" s="5">
        <v>0.6</v>
      </c>
      <c r="AF13" s="5">
        <v>0.43</v>
      </c>
      <c r="AG13" s="5">
        <f t="shared" ref="AG13:AG33" si="17">SQRT(AE13*AE13+AF13*AF13)</f>
        <v>0.73817342135842301</v>
      </c>
      <c r="AI13">
        <f>'model coef'!BA6</f>
        <v>0</v>
      </c>
      <c r="AJ13">
        <v>0</v>
      </c>
      <c r="AK13">
        <f t="shared" si="2"/>
        <v>3.7817799845639775E-3</v>
      </c>
      <c r="AL13" s="1">
        <f t="shared" si="3"/>
        <v>0.73817342135842301</v>
      </c>
      <c r="AM13" s="12">
        <f t="shared" si="4"/>
        <v>316.16074402192896</v>
      </c>
      <c r="AN13" s="1">
        <f t="shared" si="12"/>
        <v>-6.0721459982244497</v>
      </c>
      <c r="AO13" s="1">
        <f t="shared" ref="AO13:AO33" si="18">IF($B$10&gt;$AW13,$S13*($B$10-$AW13)+$AA13*(10-$B$10)^2,IF($B$14=0,$R13+$AI13,$R13)*($B$10-$AW13)+$AA13*(10-$B$10)^2)</f>
        <v>-0.10819199999999998</v>
      </c>
      <c r="AP13" s="1">
        <f t="shared" si="5"/>
        <v>-0.18</v>
      </c>
      <c r="AQ13" s="1">
        <f t="shared" ref="AQ13:AQ33" si="19">IF(B$15=1,IF(B$14=1,U13+V13*LN(MAX(B$12,85)/40),AC13+AD13*LN(MAX(B$11,100)/40)),0)</f>
        <v>0</v>
      </c>
      <c r="AR13" s="7"/>
      <c r="AS13" s="1">
        <f>IF(B$16&gt;1000,1000,B$16)</f>
        <v>270</v>
      </c>
      <c r="AT13" s="1">
        <f t="shared" si="13"/>
        <v>0.78277751342466495</v>
      </c>
      <c r="AU13">
        <f>'model coef'!$C6</f>
        <v>8.1999999999999993</v>
      </c>
      <c r="AV13">
        <v>7.2</v>
      </c>
      <c r="AW13">
        <f t="shared" si="6"/>
        <v>7.2</v>
      </c>
      <c r="AX13">
        <f t="shared" si="7"/>
        <v>-0.99999999999999911</v>
      </c>
      <c r="BA13" s="5">
        <f t="shared" si="8"/>
        <v>0.05</v>
      </c>
      <c r="BB13">
        <f t="shared" si="9"/>
        <v>-0.5812799999999998</v>
      </c>
      <c r="BD13">
        <f>'model coef'!J6</f>
        <v>-1.07</v>
      </c>
      <c r="BE13">
        <f t="shared" si="10"/>
        <v>-1.1100000000000001</v>
      </c>
      <c r="BF13">
        <v>-7.6E-3</v>
      </c>
      <c r="BH13">
        <f t="shared" si="11"/>
        <v>-0.5812799999999998</v>
      </c>
    </row>
    <row r="14" spans="1:60" x14ac:dyDescent="0.15">
      <c r="A14" s="1" t="s">
        <v>7</v>
      </c>
      <c r="B14" s="1">
        <f>'CAS Adjust Terms'!B4</f>
        <v>1</v>
      </c>
      <c r="D14" s="14">
        <v>7.4999999999999997E-2</v>
      </c>
      <c r="E14" s="10">
        <f t="shared" si="0"/>
        <v>4.2689210521553037E-3</v>
      </c>
      <c r="F14" s="11">
        <v>0.6</v>
      </c>
      <c r="G14" s="9">
        <f t="shared" si="16"/>
        <v>0.73817342135842301</v>
      </c>
      <c r="I14" s="6">
        <v>7.4999999999999997E-2</v>
      </c>
      <c r="J14">
        <f>'model coef'!D7</f>
        <v>1085.7</v>
      </c>
      <c r="K14">
        <f>'model coef'!E7</f>
        <v>-1.4710000000000001</v>
      </c>
      <c r="L14">
        <f>'model coef'!F7</f>
        <v>1.18</v>
      </c>
      <c r="M14">
        <f>'model coef'!G7</f>
        <v>1.88</v>
      </c>
      <c r="N14">
        <f>'model coef'!H7</f>
        <v>10</v>
      </c>
      <c r="O14" s="5">
        <f>'model coef'!BT7</f>
        <v>2.7511100000000002</v>
      </c>
      <c r="P14">
        <f t="shared" si="1"/>
        <v>-1.1100000000000001</v>
      </c>
      <c r="Q14">
        <f>'model coef'!K7</f>
        <v>0.1</v>
      </c>
      <c r="R14">
        <f>'model coef'!L7</f>
        <v>0.59</v>
      </c>
      <c r="S14">
        <f>'model coef'!M7</f>
        <v>0</v>
      </c>
      <c r="T14" s="15">
        <f>'model coef'!BM7</f>
        <v>-7.5799999999999999E-3</v>
      </c>
      <c r="U14">
        <f>'model coef'!O7</f>
        <v>0</v>
      </c>
      <c r="V14">
        <f>'model coef'!P7</f>
        <v>0</v>
      </c>
      <c r="W14">
        <f>'model coef'!Q7</f>
        <v>0.4</v>
      </c>
      <c r="X14">
        <f>'model coef'!R7</f>
        <v>1.73</v>
      </c>
      <c r="Y14" s="8">
        <f>'model coef'!S7</f>
        <v>1.7999999999999999E-2</v>
      </c>
      <c r="Z14" s="5">
        <f>'model coef'!BF7</f>
        <v>1.2250000000000001</v>
      </c>
      <c r="AA14">
        <f>'model coef'!U7</f>
        <v>-1.4200000000000001E-2</v>
      </c>
      <c r="AB14" s="5">
        <f>'model coef'!V7</f>
        <v>-0.13</v>
      </c>
      <c r="AC14">
        <f>'model coef'!W7</f>
        <v>0</v>
      </c>
      <c r="AD14">
        <f>'model coef'!X7</f>
        <v>0</v>
      </c>
      <c r="AE14" s="5">
        <v>0.6</v>
      </c>
      <c r="AF14" s="5">
        <v>0.43</v>
      </c>
      <c r="AG14" s="5">
        <f t="shared" si="17"/>
        <v>0.73817342135842301</v>
      </c>
      <c r="AI14">
        <f>'model coef'!BA7</f>
        <v>0</v>
      </c>
      <c r="AJ14">
        <v>0</v>
      </c>
      <c r="AK14">
        <f t="shared" si="2"/>
        <v>4.2689210521553037E-3</v>
      </c>
      <c r="AL14" s="1">
        <f t="shared" si="3"/>
        <v>0.73817342135842301</v>
      </c>
      <c r="AM14" s="12">
        <f t="shared" si="4"/>
        <v>316.16074402192896</v>
      </c>
      <c r="AN14" s="1">
        <f t="shared" si="12"/>
        <v>-5.8660159982244497</v>
      </c>
      <c r="AO14" s="1">
        <f t="shared" si="18"/>
        <v>-0.111328</v>
      </c>
      <c r="AP14" s="1">
        <f t="shared" si="5"/>
        <v>-0.18</v>
      </c>
      <c r="AQ14" s="1">
        <f t="shared" si="19"/>
        <v>0</v>
      </c>
      <c r="AR14" s="7"/>
      <c r="AS14" s="1">
        <f t="shared" ref="AS14:AS33" si="20">IF(B$16&gt;1000,1000,B$16)</f>
        <v>270</v>
      </c>
      <c r="AT14" s="1">
        <f t="shared" si="13"/>
        <v>0.70094983355955043</v>
      </c>
      <c r="AU14">
        <f>'model coef'!$C7</f>
        <v>8.1999999999999993</v>
      </c>
      <c r="AV14">
        <v>7.2</v>
      </c>
      <c r="AW14">
        <f t="shared" si="6"/>
        <v>7.2</v>
      </c>
      <c r="AX14">
        <f t="shared" si="7"/>
        <v>-0.99999999999999911</v>
      </c>
      <c r="BA14" s="5">
        <f t="shared" si="8"/>
        <v>7.4999999999999997E-2</v>
      </c>
      <c r="BB14">
        <f t="shared" si="9"/>
        <v>-0.51078000000000001</v>
      </c>
      <c r="BD14">
        <f>'model coef'!J7</f>
        <v>-1.07</v>
      </c>
      <c r="BE14">
        <f t="shared" si="10"/>
        <v>-1.1100000000000001</v>
      </c>
      <c r="BF14">
        <v>-7.7999999999999996E-3</v>
      </c>
      <c r="BH14">
        <f t="shared" si="11"/>
        <v>-0.51078000000000001</v>
      </c>
    </row>
    <row r="15" spans="1:60" x14ac:dyDescent="0.15">
      <c r="A15" s="1" t="s">
        <v>8</v>
      </c>
      <c r="B15" s="1">
        <v>0</v>
      </c>
      <c r="D15" s="14">
        <v>0.1</v>
      </c>
      <c r="E15" s="10">
        <f t="shared" si="0"/>
        <v>4.6292378209786891E-3</v>
      </c>
      <c r="F15" s="11">
        <v>0.6</v>
      </c>
      <c r="G15" s="9">
        <f t="shared" si="16"/>
        <v>0.73817342135842301</v>
      </c>
      <c r="I15" s="6">
        <v>0.1</v>
      </c>
      <c r="J15">
        <f>'model coef'!D8</f>
        <v>1032.5</v>
      </c>
      <c r="K15">
        <f>'model coef'!E8</f>
        <v>-1.6240000000000001</v>
      </c>
      <c r="L15">
        <f>'model coef'!F8</f>
        <v>1.18</v>
      </c>
      <c r="M15">
        <f>'model coef'!G8</f>
        <v>1.88</v>
      </c>
      <c r="N15">
        <f>'model coef'!H8</f>
        <v>10</v>
      </c>
      <c r="O15" s="5">
        <f>'model coef'!BT8</f>
        <v>3.0194299999999998</v>
      </c>
      <c r="P15">
        <f t="shared" si="1"/>
        <v>-1.1100000000000001</v>
      </c>
      <c r="Q15">
        <f>'model coef'!K8</f>
        <v>0.1</v>
      </c>
      <c r="R15">
        <f>'model coef'!L8</f>
        <v>0.59</v>
      </c>
      <c r="S15">
        <f>'model coef'!M8</f>
        <v>0</v>
      </c>
      <c r="T15" s="15">
        <f>'model coef'!BM8</f>
        <v>-7.8799999999999999E-3</v>
      </c>
      <c r="U15">
        <f>'model coef'!O8</f>
        <v>0</v>
      </c>
      <c r="V15">
        <f>'model coef'!P8</f>
        <v>0</v>
      </c>
      <c r="W15">
        <f>'model coef'!Q8</f>
        <v>0.4</v>
      </c>
      <c r="X15">
        <f>'model coef'!R8</f>
        <v>1.73</v>
      </c>
      <c r="Y15" s="8">
        <f>'model coef'!S8</f>
        <v>1.7999999999999999E-2</v>
      </c>
      <c r="Z15" s="5">
        <f>'model coef'!BF8</f>
        <v>1.4569999999999999</v>
      </c>
      <c r="AA15">
        <f>'model coef'!U8</f>
        <v>-1.4500000000000001E-2</v>
      </c>
      <c r="AB15" s="5">
        <f>'model coef'!V8</f>
        <v>-0.13</v>
      </c>
      <c r="AC15">
        <f>'model coef'!W8</f>
        <v>0</v>
      </c>
      <c r="AD15">
        <f>'model coef'!X8</f>
        <v>0</v>
      </c>
      <c r="AE15" s="5">
        <v>0.6</v>
      </c>
      <c r="AF15" s="5">
        <v>0.43</v>
      </c>
      <c r="AG15" s="5">
        <f t="shared" si="17"/>
        <v>0.73817342135842301</v>
      </c>
      <c r="AI15">
        <f>'model coef'!BA8</f>
        <v>0</v>
      </c>
      <c r="AJ15">
        <v>0</v>
      </c>
      <c r="AK15">
        <f t="shared" si="2"/>
        <v>4.6292378209786891E-3</v>
      </c>
      <c r="AL15" s="1">
        <f t="shared" si="3"/>
        <v>0.73817342135842301</v>
      </c>
      <c r="AM15" s="12">
        <f t="shared" si="4"/>
        <v>316.16074402192896</v>
      </c>
      <c r="AN15" s="1">
        <f t="shared" si="12"/>
        <v>-5.6876959982244504</v>
      </c>
      <c r="AO15" s="1">
        <f t="shared" si="18"/>
        <v>-0.11367999999999999</v>
      </c>
      <c r="AP15" s="1">
        <f t="shared" si="5"/>
        <v>-0.18</v>
      </c>
      <c r="AQ15" s="1">
        <f t="shared" si="19"/>
        <v>0</v>
      </c>
      <c r="AR15" s="7"/>
      <c r="AS15" s="1">
        <f t="shared" si="20"/>
        <v>270</v>
      </c>
      <c r="AT15" s="1">
        <f t="shared" si="13"/>
        <v>0.60601295629030449</v>
      </c>
      <c r="AU15">
        <f>'model coef'!$C8</f>
        <v>8.1999999999999993</v>
      </c>
      <c r="AV15">
        <v>7.2</v>
      </c>
      <c r="AW15">
        <f t="shared" si="6"/>
        <v>7.2</v>
      </c>
      <c r="AX15">
        <f t="shared" si="7"/>
        <v>-0.99999999999999911</v>
      </c>
      <c r="BA15" s="5">
        <f t="shared" si="8"/>
        <v>0.1</v>
      </c>
      <c r="BB15">
        <f t="shared" si="9"/>
        <v>-0.45932000000000017</v>
      </c>
      <c r="BD15">
        <f>'model coef'!J8</f>
        <v>-1.07</v>
      </c>
      <c r="BE15">
        <f t="shared" si="10"/>
        <v>-1.1100000000000001</v>
      </c>
      <c r="BF15">
        <v>-7.7000000000000002E-3</v>
      </c>
      <c r="BH15">
        <f t="shared" si="11"/>
        <v>-0.45932000000000017</v>
      </c>
    </row>
    <row r="16" spans="1:60" x14ac:dyDescent="0.15">
      <c r="A16" s="1" t="s">
        <v>9</v>
      </c>
      <c r="B16" s="1">
        <f>'CAS Adjust Terms'!B9</f>
        <v>270</v>
      </c>
      <c r="D16" s="14">
        <v>0.15</v>
      </c>
      <c r="E16" s="10">
        <f t="shared" si="0"/>
        <v>5.2349806690995442E-3</v>
      </c>
      <c r="F16" s="11">
        <v>0.6</v>
      </c>
      <c r="G16" s="9">
        <f t="shared" si="16"/>
        <v>0.73817342135842301</v>
      </c>
      <c r="I16" s="6">
        <v>0.15</v>
      </c>
      <c r="J16">
        <f>'model coef'!D9</f>
        <v>877.6</v>
      </c>
      <c r="K16">
        <f>'model coef'!E9</f>
        <v>-1.931</v>
      </c>
      <c r="L16">
        <f>'model coef'!F9</f>
        <v>1.18</v>
      </c>
      <c r="M16">
        <f>'model coef'!G9</f>
        <v>1.88</v>
      </c>
      <c r="N16">
        <f>'model coef'!H9</f>
        <v>10</v>
      </c>
      <c r="O16" s="5">
        <f>'model coef'!BT9</f>
        <v>3.3486699999999998</v>
      </c>
      <c r="P16">
        <f t="shared" si="1"/>
        <v>-1.0840000000000001</v>
      </c>
      <c r="Q16">
        <f>'model coef'!K9</f>
        <v>0.1</v>
      </c>
      <c r="R16">
        <f>'model coef'!L9</f>
        <v>0.59</v>
      </c>
      <c r="S16">
        <f>'model coef'!M9</f>
        <v>0</v>
      </c>
      <c r="T16" s="41">
        <f>-0.0082</f>
        <v>-8.2000000000000007E-3</v>
      </c>
      <c r="U16">
        <f>'model coef'!O9</f>
        <v>0</v>
      </c>
      <c r="V16">
        <f>'model coef'!P9</f>
        <v>0</v>
      </c>
      <c r="W16">
        <f>'model coef'!Q9</f>
        <v>0.4</v>
      </c>
      <c r="X16">
        <f>'model coef'!R9</f>
        <v>1.73</v>
      </c>
      <c r="Y16" s="8">
        <f>'model coef'!S9</f>
        <v>1.7500000000000002E-2</v>
      </c>
      <c r="Z16" s="5">
        <f>'model coef'!BF9</f>
        <v>1.849</v>
      </c>
      <c r="AA16">
        <f>'model coef'!U9</f>
        <v>-1.5299999999999999E-2</v>
      </c>
      <c r="AB16" s="5">
        <f>'model coef'!V9</f>
        <v>-0.156</v>
      </c>
      <c r="AC16">
        <f>'model coef'!W9</f>
        <v>0</v>
      </c>
      <c r="AD16">
        <f>'model coef'!X9</f>
        <v>0</v>
      </c>
      <c r="AE16" s="5">
        <v>0.6</v>
      </c>
      <c r="AF16" s="5">
        <v>0.43</v>
      </c>
      <c r="AG16" s="5">
        <f t="shared" si="17"/>
        <v>0.73817342135842301</v>
      </c>
      <c r="AI16">
        <f>'model coef'!BA9</f>
        <v>0</v>
      </c>
      <c r="AJ16">
        <v>0</v>
      </c>
      <c r="AK16">
        <f t="shared" si="2"/>
        <v>5.2349806690995442E-3</v>
      </c>
      <c r="AL16" s="1">
        <f t="shared" si="3"/>
        <v>0.73817342135842301</v>
      </c>
      <c r="AM16" s="12">
        <f t="shared" si="4"/>
        <v>316.16074402192896</v>
      </c>
      <c r="AN16" s="1">
        <f t="shared" si="12"/>
        <v>-5.45445599822445</v>
      </c>
      <c r="AO16" s="1">
        <f t="shared" si="18"/>
        <v>-0.11995199999999998</v>
      </c>
      <c r="AP16" s="1">
        <f t="shared" si="5"/>
        <v>-0.17500000000000002</v>
      </c>
      <c r="AQ16" s="1">
        <f t="shared" si="19"/>
        <v>0</v>
      </c>
      <c r="AR16" s="7"/>
      <c r="AS16" s="1">
        <f t="shared" si="20"/>
        <v>270</v>
      </c>
      <c r="AT16" s="1">
        <f t="shared" si="13"/>
        <v>0.49701587093135569</v>
      </c>
      <c r="AU16">
        <f>'model coef'!$C9</f>
        <v>8.1999999999999993</v>
      </c>
      <c r="AV16">
        <v>7.2</v>
      </c>
      <c r="AW16">
        <f t="shared" si="6"/>
        <v>7.2</v>
      </c>
      <c r="AX16">
        <f t="shared" si="7"/>
        <v>-0.99999999999999911</v>
      </c>
      <c r="BA16" s="5">
        <f t="shared" si="8"/>
        <v>0.15</v>
      </c>
      <c r="BB16">
        <f t="shared" si="9"/>
        <v>-0.42957999999999985</v>
      </c>
      <c r="BD16">
        <f>'model coef'!J9</f>
        <v>-1.044</v>
      </c>
      <c r="BE16">
        <f t="shared" si="10"/>
        <v>-1.0840000000000001</v>
      </c>
      <c r="BF16">
        <v>-7.4000000000000003E-3</v>
      </c>
      <c r="BH16">
        <f t="shared" si="11"/>
        <v>-0.42957999999999985</v>
      </c>
    </row>
    <row r="17" spans="1:60" x14ac:dyDescent="0.15">
      <c r="A17" s="1" t="s">
        <v>11</v>
      </c>
      <c r="B17" s="1">
        <v>0</v>
      </c>
      <c r="D17" s="14">
        <v>0.2</v>
      </c>
      <c r="E17" s="10">
        <f t="shared" si="0"/>
        <v>5.7769231853543948E-3</v>
      </c>
      <c r="F17" s="11">
        <v>0.6</v>
      </c>
      <c r="G17" s="9">
        <f t="shared" si="16"/>
        <v>0.73817342135842301</v>
      </c>
      <c r="I17" s="6">
        <v>0.2</v>
      </c>
      <c r="J17">
        <f>'model coef'!D10</f>
        <v>748.2</v>
      </c>
      <c r="K17">
        <f>'model coef'!E10</f>
        <v>-2.1880000000000002</v>
      </c>
      <c r="L17">
        <f>'model coef'!F10</f>
        <v>1.18</v>
      </c>
      <c r="M17">
        <f>'model coef'!G10</f>
        <v>1.88</v>
      </c>
      <c r="N17">
        <f>'model coef'!H10</f>
        <v>10</v>
      </c>
      <c r="O17" s="5">
        <f>'model coef'!BT10</f>
        <v>3.2839700000000001</v>
      </c>
      <c r="P17">
        <f t="shared" si="1"/>
        <v>-1.0269999999999999</v>
      </c>
      <c r="Q17">
        <f>'model coef'!K10</f>
        <v>0.1</v>
      </c>
      <c r="R17">
        <f>'model coef'!L10</f>
        <v>0.62</v>
      </c>
      <c r="S17">
        <f>'model coef'!M10</f>
        <v>0</v>
      </c>
      <c r="T17" s="15">
        <f>'model coef'!BM10</f>
        <v>-8.3499999999999998E-3</v>
      </c>
      <c r="U17">
        <f>'model coef'!O10</f>
        <v>0</v>
      </c>
      <c r="V17">
        <f>'model coef'!P10</f>
        <v>0</v>
      </c>
      <c r="W17">
        <f>'model coef'!Q10</f>
        <v>0.4</v>
      </c>
      <c r="X17">
        <f>'model coef'!R10</f>
        <v>1.73</v>
      </c>
      <c r="Y17" s="8">
        <f>'model coef'!S10</f>
        <v>1.7000000000000001E-2</v>
      </c>
      <c r="Z17" s="5">
        <f>'model coef'!BF10</f>
        <v>2.0819999999999999</v>
      </c>
      <c r="AA17">
        <f>'model coef'!U10</f>
        <v>-1.6199999999999999E-2</v>
      </c>
      <c r="AB17" s="5">
        <f>'model coef'!V10</f>
        <v>-0.17199999999999999</v>
      </c>
      <c r="AC17">
        <f>'model coef'!W10</f>
        <v>0</v>
      </c>
      <c r="AD17">
        <f>'model coef'!X10</f>
        <v>0</v>
      </c>
      <c r="AE17" s="5">
        <v>0.6</v>
      </c>
      <c r="AF17" s="5">
        <v>0.43</v>
      </c>
      <c r="AG17" s="5">
        <f t="shared" si="17"/>
        <v>0.73817342135842301</v>
      </c>
      <c r="AI17">
        <f>'model coef'!BA10</f>
        <v>0</v>
      </c>
      <c r="AJ17">
        <v>0</v>
      </c>
      <c r="AK17">
        <f t="shared" si="2"/>
        <v>5.7769231853543948E-3</v>
      </c>
      <c r="AL17" s="1">
        <f t="shared" si="3"/>
        <v>0.73817342135842301</v>
      </c>
      <c r="AM17" s="12">
        <f t="shared" si="4"/>
        <v>316.16074402192896</v>
      </c>
      <c r="AN17" s="1">
        <f t="shared" si="12"/>
        <v>-5.358149716741984</v>
      </c>
      <c r="AO17" s="1">
        <f t="shared" si="18"/>
        <v>-0.12700799999999998</v>
      </c>
      <c r="AP17" s="1">
        <f t="shared" si="5"/>
        <v>-0.17</v>
      </c>
      <c r="AQ17" s="1">
        <f t="shared" si="19"/>
        <v>0</v>
      </c>
      <c r="AR17" s="7"/>
      <c r="AS17" s="1">
        <f t="shared" si="20"/>
        <v>270</v>
      </c>
      <c r="AT17" s="1">
        <f t="shared" si="13"/>
        <v>0.50127365783813471</v>
      </c>
      <c r="AU17">
        <f>'model coef'!$C10</f>
        <v>8.1999999999999993</v>
      </c>
      <c r="AV17">
        <v>7.2</v>
      </c>
      <c r="AW17">
        <f t="shared" si="6"/>
        <v>7.2</v>
      </c>
      <c r="AX17">
        <f t="shared" si="7"/>
        <v>-0.99999999999999911</v>
      </c>
      <c r="BA17" s="5">
        <f t="shared" si="8"/>
        <v>0.2</v>
      </c>
      <c r="BB17">
        <f t="shared" si="9"/>
        <v>-0.49984000000000028</v>
      </c>
      <c r="BD17">
        <f>'model coef'!J10</f>
        <v>-0.98699999999999999</v>
      </c>
      <c r="BE17">
        <f t="shared" si="10"/>
        <v>-1.0269999999999999</v>
      </c>
      <c r="BF17">
        <v>-7.1999999999999998E-3</v>
      </c>
      <c r="BH17">
        <f t="shared" si="11"/>
        <v>-0.49984000000000028</v>
      </c>
    </row>
    <row r="18" spans="1:60" x14ac:dyDescent="0.15">
      <c r="A18" s="1" t="s">
        <v>53</v>
      </c>
      <c r="B18" s="1">
        <v>0</v>
      </c>
      <c r="D18" s="14">
        <v>0.25</v>
      </c>
      <c r="E18" s="10">
        <f t="shared" si="0"/>
        <v>6.3180420972728229E-3</v>
      </c>
      <c r="F18" s="11">
        <v>0.6</v>
      </c>
      <c r="G18" s="9">
        <f t="shared" si="16"/>
        <v>0.73817342135842301</v>
      </c>
      <c r="I18" s="6">
        <v>0.25</v>
      </c>
      <c r="J18">
        <f>'model coef'!D11</f>
        <v>654.29999999999995</v>
      </c>
      <c r="K18">
        <f>'model coef'!E11</f>
        <v>-2.3809999999999998</v>
      </c>
      <c r="L18">
        <f>'model coef'!F11</f>
        <v>1.18</v>
      </c>
      <c r="M18">
        <f>'model coef'!G11</f>
        <v>1.88</v>
      </c>
      <c r="N18">
        <f>'model coef'!H11</f>
        <v>10</v>
      </c>
      <c r="O18" s="5">
        <f>'model coef'!BT11</f>
        <v>3.2113100000000001</v>
      </c>
      <c r="P18">
        <f t="shared" si="1"/>
        <v>-0.98299999999999987</v>
      </c>
      <c r="Q18">
        <f>'model coef'!K11</f>
        <v>0.1</v>
      </c>
      <c r="R18">
        <f>'model coef'!L11</f>
        <v>0.64</v>
      </c>
      <c r="S18">
        <f>'model coef'!M11</f>
        <v>0</v>
      </c>
      <c r="T18" s="15">
        <f>'model coef'!BM11</f>
        <v>-8.3499999999999998E-3</v>
      </c>
      <c r="U18">
        <f>'model coef'!O11</f>
        <v>0</v>
      </c>
      <c r="V18">
        <f>'model coef'!P11</f>
        <v>0</v>
      </c>
      <c r="W18">
        <f>'model coef'!Q11</f>
        <v>0.4</v>
      </c>
      <c r="X18">
        <f>'model coef'!R11</f>
        <v>1.73</v>
      </c>
      <c r="Y18" s="8">
        <f>'model coef'!S11</f>
        <v>1.6E-2</v>
      </c>
      <c r="Z18" s="5">
        <f>'model coef'!BF11</f>
        <v>2.2400000000000002</v>
      </c>
      <c r="AA18">
        <f>'model coef'!U11</f>
        <v>-1.72E-2</v>
      </c>
      <c r="AB18" s="5">
        <f>'model coef'!V11</f>
        <v>-0.184</v>
      </c>
      <c r="AC18">
        <f>'model coef'!W11</f>
        <v>0</v>
      </c>
      <c r="AD18">
        <f>'model coef'!X11</f>
        <v>0</v>
      </c>
      <c r="AE18" s="5">
        <v>0.6</v>
      </c>
      <c r="AF18" s="5">
        <v>0.43</v>
      </c>
      <c r="AG18" s="5">
        <f t="shared" si="17"/>
        <v>0.73817342135842301</v>
      </c>
      <c r="AI18">
        <f>'model coef'!BA11</f>
        <v>0</v>
      </c>
      <c r="AJ18">
        <v>0</v>
      </c>
      <c r="AK18">
        <f t="shared" si="2"/>
        <v>6.3180420972728229E-3</v>
      </c>
      <c r="AL18" s="1">
        <f t="shared" si="3"/>
        <v>0.73817342135842301</v>
      </c>
      <c r="AM18" s="12">
        <f t="shared" si="4"/>
        <v>316.16074402192896</v>
      </c>
      <c r="AN18" s="1">
        <f t="shared" si="12"/>
        <v>-5.2666096921703049</v>
      </c>
      <c r="AO18" s="1">
        <f t="shared" si="18"/>
        <v>-0.134848</v>
      </c>
      <c r="AP18" s="1">
        <f t="shared" si="5"/>
        <v>-0.16</v>
      </c>
      <c r="AQ18" s="1">
        <f t="shared" si="19"/>
        <v>0</v>
      </c>
      <c r="AR18" s="7"/>
      <c r="AS18" s="1">
        <f t="shared" si="20"/>
        <v>270</v>
      </c>
      <c r="AT18" s="1">
        <f t="shared" si="13"/>
        <v>0.49711177861531874</v>
      </c>
      <c r="AU18">
        <f>'model coef'!$C11</f>
        <v>8.1999999999999993</v>
      </c>
      <c r="AV18">
        <v>7.2</v>
      </c>
      <c r="AW18">
        <f t="shared" si="6"/>
        <v>7.2</v>
      </c>
      <c r="AX18">
        <f t="shared" si="7"/>
        <v>-0.99999999999999911</v>
      </c>
      <c r="BA18" s="5">
        <f t="shared" si="8"/>
        <v>0.25</v>
      </c>
      <c r="BB18">
        <f t="shared" si="9"/>
        <v>-0.56957999999999931</v>
      </c>
      <c r="BD18">
        <f>'model coef'!J11</f>
        <v>-0.94299999999999995</v>
      </c>
      <c r="BE18">
        <f t="shared" si="10"/>
        <v>-0.98299999999999987</v>
      </c>
      <c r="BF18">
        <v>-7.0000000000000001E-3</v>
      </c>
      <c r="BH18">
        <f t="shared" si="11"/>
        <v>-0.56957999999999931</v>
      </c>
    </row>
    <row r="19" spans="1:60" x14ac:dyDescent="0.15">
      <c r="A19" s="1" t="s">
        <v>41</v>
      </c>
      <c r="B19" s="1">
        <v>7.8</v>
      </c>
      <c r="D19" s="14">
        <v>0.3</v>
      </c>
      <c r="E19" s="10">
        <f t="shared" si="0"/>
        <v>6.780049870689993E-3</v>
      </c>
      <c r="F19" s="11">
        <v>0.6</v>
      </c>
      <c r="G19" s="9">
        <f t="shared" si="16"/>
        <v>0.73817342135842301</v>
      </c>
      <c r="I19" s="6">
        <v>0.3</v>
      </c>
      <c r="J19">
        <f>'model coef'!D12</f>
        <v>587.1</v>
      </c>
      <c r="K19">
        <f>'model coef'!E12</f>
        <v>-2.5179999999999998</v>
      </c>
      <c r="L19">
        <f>'model coef'!F12</f>
        <v>1.18</v>
      </c>
      <c r="M19">
        <f>'model coef'!G12</f>
        <v>1.88</v>
      </c>
      <c r="N19">
        <f>'model coef'!H12</f>
        <v>10</v>
      </c>
      <c r="O19" s="5">
        <f>'model coef'!BT12</f>
        <v>3.1454800000000001</v>
      </c>
      <c r="P19">
        <f t="shared" si="1"/>
        <v>-0.94699999999999995</v>
      </c>
      <c r="Q19">
        <f>'model coef'!K12</f>
        <v>0.1</v>
      </c>
      <c r="R19">
        <f>'model coef'!L12</f>
        <v>0.66</v>
      </c>
      <c r="S19">
        <f>'model coef'!M12</f>
        <v>0</v>
      </c>
      <c r="T19" s="15">
        <f>'model coef'!BM12</f>
        <v>-8.2799999999999992E-3</v>
      </c>
      <c r="U19">
        <f>'model coef'!O12</f>
        <v>0</v>
      </c>
      <c r="V19">
        <f>'model coef'!P12</f>
        <v>0</v>
      </c>
      <c r="W19">
        <f>'model coef'!Q12</f>
        <v>0.4</v>
      </c>
      <c r="X19">
        <f>'model coef'!R12</f>
        <v>1.73</v>
      </c>
      <c r="Y19" s="8">
        <f>'model coef'!S12</f>
        <v>1.52E-2</v>
      </c>
      <c r="Z19" s="5">
        <f>'model coef'!BF12</f>
        <v>2.3410000000000002</v>
      </c>
      <c r="AA19">
        <f>'model coef'!U12</f>
        <v>-1.83E-2</v>
      </c>
      <c r="AB19" s="5">
        <f>'model coef'!V12</f>
        <v>-0.19400000000000001</v>
      </c>
      <c r="AC19">
        <f>'model coef'!W12</f>
        <v>0</v>
      </c>
      <c r="AD19">
        <f>'model coef'!X12</f>
        <v>0</v>
      </c>
      <c r="AE19" s="5">
        <v>0.6</v>
      </c>
      <c r="AF19" s="5">
        <v>0.43</v>
      </c>
      <c r="AG19" s="5">
        <f t="shared" si="17"/>
        <v>0.73817342135842301</v>
      </c>
      <c r="AI19">
        <f>'model coef'!BA12</f>
        <v>0</v>
      </c>
      <c r="AJ19">
        <v>0</v>
      </c>
      <c r="AK19">
        <f t="shared" si="2"/>
        <v>6.780049870689993E-3</v>
      </c>
      <c r="AL19" s="1">
        <f t="shared" si="3"/>
        <v>0.73817342135842301</v>
      </c>
      <c r="AM19" s="12">
        <f t="shared" si="4"/>
        <v>316.16074402192896</v>
      </c>
      <c r="AN19" s="1">
        <f t="shared" si="12"/>
        <v>-5.181777172205817</v>
      </c>
      <c r="AO19" s="1">
        <f t="shared" si="18"/>
        <v>-0.14347199999999999</v>
      </c>
      <c r="AP19" s="1">
        <f t="shared" si="5"/>
        <v>-0.152</v>
      </c>
      <c r="AQ19" s="1">
        <f t="shared" si="19"/>
        <v>0</v>
      </c>
      <c r="AR19" s="7"/>
      <c r="AS19" s="1">
        <f t="shared" si="20"/>
        <v>270</v>
      </c>
      <c r="AT19" s="1">
        <f t="shared" si="13"/>
        <v>0.48347835070792855</v>
      </c>
      <c r="AU19">
        <f>'model coef'!$C12</f>
        <v>8.1999999999999993</v>
      </c>
      <c r="AV19">
        <v>7.2</v>
      </c>
      <c r="AW19">
        <f t="shared" si="6"/>
        <v>7.2</v>
      </c>
      <c r="AX19">
        <f t="shared" si="7"/>
        <v>-0.99999999999999911</v>
      </c>
      <c r="BA19" s="5">
        <f t="shared" si="8"/>
        <v>0.3</v>
      </c>
      <c r="BB19">
        <f t="shared" si="9"/>
        <v>-0.63023999999999925</v>
      </c>
      <c r="BD19">
        <f>'model coef'!J12</f>
        <v>-0.90700000000000003</v>
      </c>
      <c r="BE19">
        <f t="shared" si="10"/>
        <v>-0.94699999999999995</v>
      </c>
      <c r="BF19">
        <v>-6.7999999999999996E-3</v>
      </c>
      <c r="BH19">
        <f t="shared" si="11"/>
        <v>-0.63023999999999925</v>
      </c>
    </row>
    <row r="20" spans="1:60" x14ac:dyDescent="0.15">
      <c r="A20" s="1" t="s">
        <v>64</v>
      </c>
      <c r="B20" s="1">
        <v>0</v>
      </c>
      <c r="D20" s="14">
        <v>0.4</v>
      </c>
      <c r="E20" s="10">
        <f t="shared" si="0"/>
        <v>7.5992724020202971E-3</v>
      </c>
      <c r="F20" s="11">
        <v>0.6</v>
      </c>
      <c r="G20" s="9">
        <f t="shared" si="16"/>
        <v>0.73817342135842301</v>
      </c>
      <c r="I20" s="6">
        <v>0.4</v>
      </c>
      <c r="J20">
        <f>'model coef'!D13</f>
        <v>503</v>
      </c>
      <c r="K20">
        <f>'model coef'!E13</f>
        <v>-2.657</v>
      </c>
      <c r="L20">
        <f>'model coef'!F13</f>
        <v>1.18</v>
      </c>
      <c r="M20">
        <f>'model coef'!G13</f>
        <v>1.88</v>
      </c>
      <c r="N20">
        <f>'model coef'!H13</f>
        <v>10</v>
      </c>
      <c r="O20" s="5">
        <f>'model coef'!BT13</f>
        <v>2.9965600000000001</v>
      </c>
      <c r="P20">
        <f t="shared" si="1"/>
        <v>-0.8899999999999999</v>
      </c>
      <c r="Q20">
        <f>'model coef'!K13</f>
        <v>0.1</v>
      </c>
      <c r="R20">
        <f>'model coef'!L13</f>
        <v>0.68</v>
      </c>
      <c r="S20">
        <f>'model coef'!M13</f>
        <v>0</v>
      </c>
      <c r="T20" s="15">
        <f>'model coef'!BM13</f>
        <v>-7.9699999999999997E-3</v>
      </c>
      <c r="U20">
        <f>'model coef'!O13</f>
        <v>0</v>
      </c>
      <c r="V20">
        <f>'model coef'!P13</f>
        <v>0</v>
      </c>
      <c r="W20">
        <f>'model coef'!Q13</f>
        <v>0.4</v>
      </c>
      <c r="X20">
        <f>'model coef'!R13</f>
        <v>1.73</v>
      </c>
      <c r="Y20" s="8">
        <f>'model coef'!S13</f>
        <v>1.4E-2</v>
      </c>
      <c r="Z20" s="5">
        <f>'model coef'!BF13</f>
        <v>2.415</v>
      </c>
      <c r="AA20">
        <f>'model coef'!U13</f>
        <v>-2.06E-2</v>
      </c>
      <c r="AB20" s="5">
        <f>'model coef'!V13</f>
        <v>-0.21</v>
      </c>
      <c r="AC20">
        <f>'model coef'!W13</f>
        <v>0</v>
      </c>
      <c r="AD20">
        <f>'model coef'!X13</f>
        <v>0</v>
      </c>
      <c r="AE20" s="5">
        <v>0.6</v>
      </c>
      <c r="AF20" s="5">
        <v>0.43</v>
      </c>
      <c r="AG20" s="5">
        <f t="shared" si="17"/>
        <v>0.73817342135842301</v>
      </c>
      <c r="AI20">
        <f>'model coef'!BA13</f>
        <v>0</v>
      </c>
      <c r="AJ20">
        <v>0</v>
      </c>
      <c r="AK20">
        <f t="shared" si="2"/>
        <v>7.5992724020202971E-3</v>
      </c>
      <c r="AL20" s="1">
        <f t="shared" si="3"/>
        <v>0.73817342135842301</v>
      </c>
      <c r="AM20" s="12">
        <f t="shared" si="4"/>
        <v>316.16074402192896</v>
      </c>
      <c r="AN20" s="1">
        <f t="shared" si="12"/>
        <v>-5.0216908907233524</v>
      </c>
      <c r="AO20" s="1">
        <f t="shared" si="18"/>
        <v>-0.16150399999999998</v>
      </c>
      <c r="AP20" s="1">
        <f t="shared" si="5"/>
        <v>-0.14000000000000001</v>
      </c>
      <c r="AQ20" s="1">
        <f t="shared" si="19"/>
        <v>0</v>
      </c>
      <c r="AR20" s="7"/>
      <c r="AS20" s="1">
        <f t="shared" si="20"/>
        <v>270</v>
      </c>
      <c r="AT20" s="1">
        <f t="shared" si="13"/>
        <v>0.44349211787418508</v>
      </c>
      <c r="AU20">
        <f>'model coef'!$C13</f>
        <v>8.1999999999999993</v>
      </c>
      <c r="AV20">
        <v>7.2</v>
      </c>
      <c r="AW20">
        <f t="shared" si="6"/>
        <v>7.2</v>
      </c>
      <c r="AX20">
        <f t="shared" si="7"/>
        <v>-0.99999999999999911</v>
      </c>
      <c r="BA20" s="5">
        <f t="shared" si="8"/>
        <v>0.4</v>
      </c>
      <c r="BB20">
        <f t="shared" si="9"/>
        <v>-0.72025999999999968</v>
      </c>
      <c r="BD20">
        <f>'model coef'!J13</f>
        <v>-0.85</v>
      </c>
      <c r="BE20">
        <f t="shared" si="10"/>
        <v>-0.8899999999999999</v>
      </c>
      <c r="BF20">
        <v>-6.4000000000000003E-3</v>
      </c>
      <c r="BH20">
        <f t="shared" si="11"/>
        <v>-0.72025999999999968</v>
      </c>
    </row>
    <row r="21" spans="1:60" s="26" customFormat="1" x14ac:dyDescent="0.15">
      <c r="A21" s="25"/>
      <c r="B21" s="25"/>
      <c r="C21"/>
      <c r="D21" s="14">
        <v>0.5</v>
      </c>
      <c r="E21" s="10">
        <f t="shared" si="0"/>
        <v>8.1205571092248761E-3</v>
      </c>
      <c r="F21" s="11">
        <v>0.6</v>
      </c>
      <c r="G21" s="9">
        <f t="shared" si="16"/>
        <v>0.73817342135842301</v>
      </c>
      <c r="H21" s="7"/>
      <c r="I21" s="6">
        <v>0.5</v>
      </c>
      <c r="J21">
        <f>'model coef'!D14</f>
        <v>456.6</v>
      </c>
      <c r="K21">
        <f>'model coef'!E14</f>
        <v>-2.669</v>
      </c>
      <c r="L21">
        <f>'model coef'!F14</f>
        <v>1.18</v>
      </c>
      <c r="M21">
        <f>'model coef'!G14</f>
        <v>1.88</v>
      </c>
      <c r="N21">
        <f>'model coef'!H14</f>
        <v>10</v>
      </c>
      <c r="O21" s="5">
        <f>'model coef'!BT14</f>
        <v>2.83921</v>
      </c>
      <c r="P21">
        <f t="shared" si="1"/>
        <v>-0.84499999999999997</v>
      </c>
      <c r="Q21">
        <f>'model coef'!K14</f>
        <v>0.1</v>
      </c>
      <c r="R21">
        <f>'model coef'!L14</f>
        <v>0.68</v>
      </c>
      <c r="S21">
        <f>'model coef'!M14</f>
        <v>0</v>
      </c>
      <c r="T21" s="15">
        <f>'model coef'!BM14</f>
        <v>-7.7000000000000002E-3</v>
      </c>
      <c r="U21">
        <f>'model coef'!O14</f>
        <v>0</v>
      </c>
      <c r="V21">
        <f>'model coef'!P14</f>
        <v>0</v>
      </c>
      <c r="W21">
        <f>'model coef'!Q14</f>
        <v>0.4</v>
      </c>
      <c r="X21">
        <f>'model coef'!R14</f>
        <v>1.73</v>
      </c>
      <c r="Y21" s="8">
        <f>'model coef'!S14</f>
        <v>1.2999999999999999E-2</v>
      </c>
      <c r="Z21" s="5">
        <f>'model coef'!BF14</f>
        <v>2.359</v>
      </c>
      <c r="AA21">
        <f>'model coef'!U14</f>
        <v>-2.3099999999999999E-2</v>
      </c>
      <c r="AB21" s="5">
        <f>'model coef'!V14</f>
        <v>-0.223</v>
      </c>
      <c r="AC21">
        <f>'model coef'!W14</f>
        <v>0</v>
      </c>
      <c r="AD21">
        <f>'model coef'!X14</f>
        <v>0</v>
      </c>
      <c r="AE21" s="5">
        <v>0.6</v>
      </c>
      <c r="AF21" s="5">
        <v>0.43</v>
      </c>
      <c r="AG21" s="5">
        <f t="shared" si="17"/>
        <v>0.73817342135842301</v>
      </c>
      <c r="AH21"/>
      <c r="AI21">
        <f>'model coef'!BA14</f>
        <v>0</v>
      </c>
      <c r="AJ21">
        <v>0</v>
      </c>
      <c r="AK21">
        <f t="shared" si="2"/>
        <v>8.1205571092248761E-3</v>
      </c>
      <c r="AL21" s="1">
        <f t="shared" si="3"/>
        <v>0.73817342135842301</v>
      </c>
      <c r="AM21" s="12">
        <f t="shared" si="4"/>
        <v>316.16074402192896</v>
      </c>
      <c r="AN21" s="1">
        <f t="shared" si="12"/>
        <v>-4.9138408661516753</v>
      </c>
      <c r="AO21" s="1">
        <f t="shared" si="18"/>
        <v>-0.18110399999999996</v>
      </c>
      <c r="AP21" s="1">
        <f t="shared" si="5"/>
        <v>-0.13</v>
      </c>
      <c r="AQ21" s="1">
        <f t="shared" si="19"/>
        <v>0</v>
      </c>
      <c r="AR21" s="7"/>
      <c r="AS21" s="1">
        <f t="shared" si="20"/>
        <v>270</v>
      </c>
      <c r="AT21" s="1">
        <f t="shared" si="13"/>
        <v>0.41158834850005327</v>
      </c>
      <c r="AU21">
        <f>'model coef'!$C14</f>
        <v>8.1999999999999993</v>
      </c>
      <c r="AV21">
        <v>7.2</v>
      </c>
      <c r="AW21">
        <f t="shared" si="6"/>
        <v>7.2</v>
      </c>
      <c r="AX21">
        <f t="shared" si="7"/>
        <v>-0.99999999999999911</v>
      </c>
      <c r="AY21"/>
      <c r="AZ21"/>
      <c r="BA21" s="5">
        <f t="shared" si="8"/>
        <v>0.5</v>
      </c>
      <c r="BB21">
        <f t="shared" si="9"/>
        <v>-0.79041999999999968</v>
      </c>
      <c r="BC21"/>
      <c r="BD21">
        <f>'model coef'!J14</f>
        <v>-0.80500000000000005</v>
      </c>
      <c r="BE21">
        <f t="shared" si="10"/>
        <v>-0.84499999999999997</v>
      </c>
      <c r="BF21" s="26">
        <v>-6.1000000000000004E-3</v>
      </c>
      <c r="BH21">
        <f t="shared" si="11"/>
        <v>-0.79041999999999968</v>
      </c>
    </row>
    <row r="22" spans="1:60" x14ac:dyDescent="0.15">
      <c r="A22" s="1" t="s">
        <v>46</v>
      </c>
      <c r="B22" s="1">
        <f>IF(B14=0,B11,B12)</f>
        <v>300</v>
      </c>
      <c r="C22" s="26"/>
      <c r="D22" s="27">
        <v>0.6</v>
      </c>
      <c r="E22" s="10">
        <f t="shared" si="0"/>
        <v>8.3167762737292195E-3</v>
      </c>
      <c r="F22" s="28">
        <v>0.6</v>
      </c>
      <c r="G22" s="29">
        <f t="shared" si="16"/>
        <v>0.73817342135842301</v>
      </c>
      <c r="H22" s="26"/>
      <c r="I22" s="30">
        <v>0.6</v>
      </c>
      <c r="J22">
        <f>'model coef'!D15</f>
        <v>430.3</v>
      </c>
      <c r="K22">
        <f>'model coef'!E15</f>
        <v>-2.5990000000000002</v>
      </c>
      <c r="L22">
        <f>'model coef'!F15</f>
        <v>1.18</v>
      </c>
      <c r="M22">
        <f>'model coef'!G15</f>
        <v>1.88</v>
      </c>
      <c r="N22">
        <f>'model coef'!H15</f>
        <v>10</v>
      </c>
      <c r="O22" s="5">
        <f>'model coef'!BT15</f>
        <v>2.6582699999999999</v>
      </c>
      <c r="P22">
        <f t="shared" si="1"/>
        <v>-0.80899999999999994</v>
      </c>
      <c r="Q22">
        <f>'model coef'!K15</f>
        <v>0.1</v>
      </c>
      <c r="R22">
        <f>'model coef'!L15</f>
        <v>0.68</v>
      </c>
      <c r="S22">
        <f>'model coef'!M15</f>
        <v>0</v>
      </c>
      <c r="T22" s="15">
        <f>'model coef'!BM15</f>
        <v>-7.3999999999999995E-3</v>
      </c>
      <c r="U22">
        <f>'model coef'!O15</f>
        <v>0</v>
      </c>
      <c r="V22">
        <f>'model coef'!P15</f>
        <v>0</v>
      </c>
      <c r="W22">
        <f>'model coef'!Q15</f>
        <v>0.4</v>
      </c>
      <c r="X22">
        <f>'model coef'!R15</f>
        <v>1.73</v>
      </c>
      <c r="Y22" s="8">
        <f>'model coef'!S15</f>
        <v>1.2200000000000001E-2</v>
      </c>
      <c r="Z22" s="5">
        <f>'model coef'!BF15</f>
        <v>2.2269999999999999</v>
      </c>
      <c r="AA22">
        <f>'model coef'!U15</f>
        <v>-2.5600000000000001E-2</v>
      </c>
      <c r="AB22" s="5">
        <f>'model coef'!V15</f>
        <v>-0.23300000000000001</v>
      </c>
      <c r="AC22">
        <f>'model coef'!W15</f>
        <v>0</v>
      </c>
      <c r="AD22">
        <f>'model coef'!X15</f>
        <v>0</v>
      </c>
      <c r="AE22" s="31">
        <v>0.6</v>
      </c>
      <c r="AF22" s="31">
        <v>0.43</v>
      </c>
      <c r="AG22" s="31">
        <f t="shared" si="17"/>
        <v>0.73817342135842301</v>
      </c>
      <c r="AH22" s="26"/>
      <c r="AI22">
        <f>'model coef'!BA15</f>
        <v>0</v>
      </c>
      <c r="AJ22" s="26">
        <v>0</v>
      </c>
      <c r="AK22" s="26">
        <f t="shared" si="2"/>
        <v>8.3167762737292195E-3</v>
      </c>
      <c r="AL22" s="25">
        <f t="shared" si="3"/>
        <v>0.73817342135842301</v>
      </c>
      <c r="AM22" s="32">
        <f t="shared" si="4"/>
        <v>316.16074402192896</v>
      </c>
      <c r="AN22" s="1">
        <f t="shared" si="12"/>
        <v>-4.8551183461871865</v>
      </c>
      <c r="AO22" s="1">
        <f t="shared" si="18"/>
        <v>-0.20070399999999999</v>
      </c>
      <c r="AP22" s="1">
        <f t="shared" si="5"/>
        <v>-0.12200000000000001</v>
      </c>
      <c r="AQ22" s="25">
        <f t="shared" si="19"/>
        <v>0</v>
      </c>
      <c r="AR22" s="26"/>
      <c r="AS22" s="25">
        <f t="shared" si="20"/>
        <v>270</v>
      </c>
      <c r="AT22" s="1">
        <f t="shared" si="13"/>
        <v>0.38834177985354018</v>
      </c>
      <c r="AU22">
        <f>'model coef'!$C15</f>
        <v>8.1999999999999993</v>
      </c>
      <c r="AV22" s="26">
        <v>7.2</v>
      </c>
      <c r="AW22" s="26">
        <f t="shared" si="6"/>
        <v>7.2</v>
      </c>
      <c r="AX22">
        <f t="shared" si="7"/>
        <v>-0.99999999999999911</v>
      </c>
      <c r="AY22" s="26"/>
      <c r="AZ22" s="26"/>
      <c r="BA22" s="5">
        <f t="shared" si="8"/>
        <v>0.6</v>
      </c>
      <c r="BB22">
        <f t="shared" si="9"/>
        <v>-0.83982000000000001</v>
      </c>
      <c r="BC22" s="26"/>
      <c r="BD22">
        <f>'model coef'!J15</f>
        <v>-0.76900000000000002</v>
      </c>
      <c r="BE22">
        <f t="shared" si="10"/>
        <v>-0.80899999999999994</v>
      </c>
      <c r="BF22">
        <v>-5.7999999999999996E-3</v>
      </c>
      <c r="BH22">
        <f t="shared" si="11"/>
        <v>-0.83982000000000001</v>
      </c>
    </row>
    <row r="23" spans="1:60" x14ac:dyDescent="0.15">
      <c r="D23" s="14">
        <v>0.75</v>
      </c>
      <c r="E23" s="10">
        <f t="shared" si="0"/>
        <v>8.4656340671283147E-3</v>
      </c>
      <c r="F23" s="11">
        <v>0.6</v>
      </c>
      <c r="G23" s="9">
        <f t="shared" si="16"/>
        <v>0.73817342135842301</v>
      </c>
      <c r="I23" s="6">
        <v>0.75</v>
      </c>
      <c r="J23">
        <f>'model coef'!D16</f>
        <v>410.5</v>
      </c>
      <c r="K23">
        <f>'model coef'!E16</f>
        <v>-2.4009999999999998</v>
      </c>
      <c r="L23">
        <f>'model coef'!F16</f>
        <v>1.18</v>
      </c>
      <c r="M23">
        <f>'model coef'!G16</f>
        <v>1.88</v>
      </c>
      <c r="N23">
        <f>'model coef'!H16</f>
        <v>10</v>
      </c>
      <c r="O23" s="5">
        <f>'model coef'!BT16</f>
        <v>2.3457699999999999</v>
      </c>
      <c r="P23">
        <f t="shared" si="1"/>
        <v>-0.76</v>
      </c>
      <c r="Q23">
        <f>'model coef'!K16</f>
        <v>0.1</v>
      </c>
      <c r="R23">
        <f>'model coef'!L16</f>
        <v>0.68</v>
      </c>
      <c r="S23">
        <f>'model coef'!M16</f>
        <v>0</v>
      </c>
      <c r="T23" s="15">
        <f>'model coef'!BM16</f>
        <v>-6.9800000000000001E-3</v>
      </c>
      <c r="U23">
        <f>'model coef'!O16</f>
        <v>0</v>
      </c>
      <c r="V23">
        <f>'model coef'!P16</f>
        <v>0</v>
      </c>
      <c r="W23">
        <f>'model coef'!Q16</f>
        <v>0.4</v>
      </c>
      <c r="X23">
        <f>'model coef'!R16</f>
        <v>1.73</v>
      </c>
      <c r="Y23" s="8">
        <f>'model coef'!S16</f>
        <v>1.1299999999999999E-2</v>
      </c>
      <c r="Z23" s="5">
        <f>'model coef'!BF16</f>
        <v>1.9490000000000001</v>
      </c>
      <c r="AA23">
        <f>'model coef'!U16</f>
        <v>-2.9600000000000001E-2</v>
      </c>
      <c r="AB23" s="5">
        <f>'model coef'!V16</f>
        <v>-0.245</v>
      </c>
      <c r="AC23">
        <f>'model coef'!W16</f>
        <v>0</v>
      </c>
      <c r="AD23">
        <f>'model coef'!X16</f>
        <v>0</v>
      </c>
      <c r="AE23" s="5">
        <v>0.6</v>
      </c>
      <c r="AF23" s="5">
        <v>0.43</v>
      </c>
      <c r="AG23" s="5">
        <f t="shared" si="17"/>
        <v>0.73817342135842301</v>
      </c>
      <c r="AI23">
        <f>'model coef'!BA16</f>
        <v>0</v>
      </c>
      <c r="AJ23">
        <v>0</v>
      </c>
      <c r="AK23">
        <f t="shared" si="2"/>
        <v>8.4656340671283147E-3</v>
      </c>
      <c r="AL23" s="1">
        <f t="shared" si="3"/>
        <v>0.73817342135842301</v>
      </c>
      <c r="AM23" s="12">
        <f t="shared" si="4"/>
        <v>316.16074402192896</v>
      </c>
      <c r="AN23" s="1">
        <f t="shared" si="12"/>
        <v>-4.7946370677761818</v>
      </c>
      <c r="AO23" s="1">
        <f t="shared" si="18"/>
        <v>-0.23206399999999999</v>
      </c>
      <c r="AP23" s="1">
        <f t="shared" si="5"/>
        <v>-0.11299999999999999</v>
      </c>
      <c r="AQ23" s="1">
        <f t="shared" si="19"/>
        <v>0</v>
      </c>
      <c r="AR23" s="7"/>
      <c r="AS23" s="1">
        <f t="shared" si="20"/>
        <v>270</v>
      </c>
      <c r="AT23" s="1">
        <f t="shared" si="13"/>
        <v>0.36796070613723414</v>
      </c>
      <c r="AU23">
        <f>'model coef'!$C16</f>
        <v>8.15</v>
      </c>
      <c r="AV23">
        <v>7.2</v>
      </c>
      <c r="AW23">
        <f t="shared" si="6"/>
        <v>7.2</v>
      </c>
      <c r="AX23">
        <f t="shared" si="7"/>
        <v>-0.95000000000000018</v>
      </c>
      <c r="BA23" s="5">
        <f t="shared" si="8"/>
        <v>0.75</v>
      </c>
      <c r="BB23">
        <f t="shared" si="9"/>
        <v>-0.88417999999999952</v>
      </c>
      <c r="BD23">
        <f>'model coef'!J16</f>
        <v>-0.72499999999999998</v>
      </c>
      <c r="BE23">
        <f t="shared" si="10"/>
        <v>-0.76</v>
      </c>
      <c r="BF23">
        <v>-5.4000000000000003E-3</v>
      </c>
      <c r="BH23">
        <f t="shared" si="11"/>
        <v>-0.88417999999999952</v>
      </c>
    </row>
    <row r="24" spans="1:60" x14ac:dyDescent="0.15">
      <c r="D24" s="14">
        <v>1</v>
      </c>
      <c r="E24" s="10">
        <f t="shared" si="0"/>
        <v>7.7342768390019677E-3</v>
      </c>
      <c r="F24" s="11">
        <v>0.6</v>
      </c>
      <c r="G24" s="9">
        <f t="shared" si="16"/>
        <v>0.73817342135842301</v>
      </c>
      <c r="I24" s="6">
        <v>1</v>
      </c>
      <c r="J24">
        <f>'model coef'!D17</f>
        <v>400</v>
      </c>
      <c r="K24">
        <f>'model coef'!E17</f>
        <v>-1.9550000000000001</v>
      </c>
      <c r="L24">
        <f>'model coef'!F17</f>
        <v>1.18</v>
      </c>
      <c r="M24">
        <f>'model coef'!G17</f>
        <v>1.88</v>
      </c>
      <c r="N24">
        <f>'model coef'!H17</f>
        <v>10</v>
      </c>
      <c r="O24" s="5">
        <f>'model coef'!BT17</f>
        <v>1.85131</v>
      </c>
      <c r="P24">
        <f t="shared" si="1"/>
        <v>-0.69800000000000006</v>
      </c>
      <c r="Q24">
        <f>'model coef'!K17</f>
        <v>0.1</v>
      </c>
      <c r="R24">
        <f>'model coef'!L17</f>
        <v>0.68</v>
      </c>
      <c r="S24">
        <f>'model coef'!M17</f>
        <v>0</v>
      </c>
      <c r="T24" s="15">
        <f>'model coef'!BM17</f>
        <v>-6.45E-3</v>
      </c>
      <c r="U24">
        <f>'model coef'!O17</f>
        <v>0</v>
      </c>
      <c r="V24">
        <f>'model coef'!P17</f>
        <v>0</v>
      </c>
      <c r="W24">
        <f>'model coef'!Q17</f>
        <v>0.4</v>
      </c>
      <c r="X24">
        <f>'model coef'!R17</f>
        <v>1.73</v>
      </c>
      <c r="Y24" s="8">
        <f>'model coef'!S17</f>
        <v>0.01</v>
      </c>
      <c r="Z24" s="5">
        <f>'model coef'!BF17</f>
        <v>1.4019999999999999</v>
      </c>
      <c r="AA24">
        <f>'model coef'!U17</f>
        <v>-3.6299999999999999E-2</v>
      </c>
      <c r="AB24" s="5">
        <f>'model coef'!V17</f>
        <v>-0.26100000000000001</v>
      </c>
      <c r="AC24">
        <f>'model coef'!W17</f>
        <v>0</v>
      </c>
      <c r="AD24">
        <f>'model coef'!X17</f>
        <v>0</v>
      </c>
      <c r="AE24" s="5">
        <v>0.6</v>
      </c>
      <c r="AF24" s="5">
        <v>0.43</v>
      </c>
      <c r="AG24" s="5">
        <f t="shared" si="17"/>
        <v>0.73817342135842301</v>
      </c>
      <c r="AI24">
        <f>'model coef'!BA17</f>
        <v>0</v>
      </c>
      <c r="AJ24">
        <v>0</v>
      </c>
      <c r="AK24">
        <f t="shared" si="2"/>
        <v>7.7342768390019677E-3</v>
      </c>
      <c r="AL24" s="1">
        <f t="shared" si="3"/>
        <v>0.73817342135842301</v>
      </c>
      <c r="AM24" s="12">
        <f t="shared" si="4"/>
        <v>316.16074402192896</v>
      </c>
      <c r="AN24" s="1">
        <f t="shared" si="12"/>
        <v>-4.8313095324543962</v>
      </c>
      <c r="AO24" s="1">
        <f t="shared" si="18"/>
        <v>-0.28459199999999996</v>
      </c>
      <c r="AP24" s="1">
        <f t="shared" si="5"/>
        <v>-0.1</v>
      </c>
      <c r="AQ24" s="1">
        <f t="shared" si="19"/>
        <v>0</v>
      </c>
      <c r="AR24" s="7"/>
      <c r="AS24" s="1">
        <f t="shared" si="20"/>
        <v>270</v>
      </c>
      <c r="AT24" s="1">
        <f t="shared" si="13"/>
        <v>0.35380824107776082</v>
      </c>
      <c r="AU24">
        <f>'model coef'!$C17</f>
        <v>8.1</v>
      </c>
      <c r="AV24">
        <v>7.2</v>
      </c>
      <c r="AW24">
        <f t="shared" si="6"/>
        <v>7.2</v>
      </c>
      <c r="AX24">
        <f t="shared" si="7"/>
        <v>-0.89999999999999947</v>
      </c>
      <c r="BA24" s="5">
        <f t="shared" si="8"/>
        <v>1</v>
      </c>
      <c r="BB24">
        <f t="shared" si="9"/>
        <v>-0.90490000000000026</v>
      </c>
      <c r="BD24">
        <f>'model coef'!J17</f>
        <v>-0.66800000000000004</v>
      </c>
      <c r="BE24">
        <f t="shared" si="10"/>
        <v>-0.69800000000000006</v>
      </c>
      <c r="BF24">
        <v>-5.0000000000000001E-3</v>
      </c>
      <c r="BH24">
        <f t="shared" si="11"/>
        <v>-0.90490000000000026</v>
      </c>
    </row>
    <row r="25" spans="1:60" x14ac:dyDescent="0.15">
      <c r="D25" s="14">
        <v>1.5</v>
      </c>
      <c r="E25" s="10">
        <f t="shared" si="0"/>
        <v>6.9116071915500728E-3</v>
      </c>
      <c r="F25" s="11">
        <v>0.6</v>
      </c>
      <c r="G25" s="9">
        <f t="shared" si="16"/>
        <v>0.73817342135842301</v>
      </c>
      <c r="I25" s="6">
        <v>1.5</v>
      </c>
      <c r="J25">
        <f>'model coef'!D18</f>
        <v>400</v>
      </c>
      <c r="K25">
        <f>'model coef'!E18</f>
        <v>-1.0249999999999999</v>
      </c>
      <c r="L25">
        <f>'model coef'!F18</f>
        <v>1.18</v>
      </c>
      <c r="M25">
        <f>'model coef'!G18</f>
        <v>1.88</v>
      </c>
      <c r="N25">
        <f>'model coef'!H18</f>
        <v>10</v>
      </c>
      <c r="O25" s="5">
        <f>'model coef'!BT18</f>
        <v>1.2155899999999999</v>
      </c>
      <c r="P25">
        <f t="shared" si="1"/>
        <v>-0.6120000000000001</v>
      </c>
      <c r="Q25">
        <f>'model coef'!K18</f>
        <v>0.1</v>
      </c>
      <c r="R25">
        <f>'model coef'!L18</f>
        <v>0.68</v>
      </c>
      <c r="S25">
        <f>'model coef'!M18</f>
        <v>0</v>
      </c>
      <c r="T25" s="15">
        <f>'model coef'!BM18</f>
        <v>-5.7000000000000002E-3</v>
      </c>
      <c r="U25">
        <f>'model coef'!O18</f>
        <v>0</v>
      </c>
      <c r="V25">
        <f>'model coef'!P18</f>
        <v>0</v>
      </c>
      <c r="W25">
        <f>'model coef'!Q18</f>
        <v>0.4</v>
      </c>
      <c r="X25">
        <f>'model coef'!R18</f>
        <v>1.73</v>
      </c>
      <c r="Y25" s="8">
        <f>'model coef'!S18</f>
        <v>8.2000000000000007E-3</v>
      </c>
      <c r="Z25" s="5">
        <f>'model coef'!BF18</f>
        <v>0.32899999999999996</v>
      </c>
      <c r="AA25">
        <f>'model coef'!U18</f>
        <v>-4.9299999999999997E-2</v>
      </c>
      <c r="AB25" s="5">
        <f>'model coef'!V18</f>
        <v>-0.28499999999999998</v>
      </c>
      <c r="AC25">
        <f>'model coef'!W18</f>
        <v>0</v>
      </c>
      <c r="AD25">
        <f>'model coef'!X18</f>
        <v>0</v>
      </c>
      <c r="AE25" s="5">
        <v>0.6</v>
      </c>
      <c r="AF25" s="5">
        <v>0.43</v>
      </c>
      <c r="AG25" s="5">
        <f t="shared" si="17"/>
        <v>0.73817342135842301</v>
      </c>
      <c r="AI25">
        <f>'model coef'!BA18</f>
        <v>0</v>
      </c>
      <c r="AJ25">
        <v>0</v>
      </c>
      <c r="AK25">
        <f t="shared" si="2"/>
        <v>6.9116071915500728E-3</v>
      </c>
      <c r="AL25" s="1">
        <f t="shared" si="3"/>
        <v>0.73817342135842301</v>
      </c>
      <c r="AM25" s="12">
        <f t="shared" si="4"/>
        <v>316.16074402192896</v>
      </c>
      <c r="AN25" s="1">
        <f t="shared" si="12"/>
        <v>-4.851141984846767</v>
      </c>
      <c r="AO25" s="1">
        <f t="shared" si="18"/>
        <v>-0.38651199999999991</v>
      </c>
      <c r="AP25" s="1">
        <f t="shared" si="5"/>
        <v>-8.2000000000000003E-2</v>
      </c>
      <c r="AQ25" s="1">
        <f t="shared" si="19"/>
        <v>0</v>
      </c>
      <c r="AR25" s="7"/>
      <c r="AS25" s="1">
        <f t="shared" si="20"/>
        <v>270</v>
      </c>
      <c r="AT25" s="1">
        <f t="shared" si="13"/>
        <v>0.34510090582529773</v>
      </c>
      <c r="AU25">
        <f>'model coef'!$C18</f>
        <v>8.0500000000000007</v>
      </c>
      <c r="AV25">
        <v>7.2</v>
      </c>
      <c r="AW25">
        <f t="shared" si="6"/>
        <v>7.2</v>
      </c>
      <c r="AX25">
        <f t="shared" si="7"/>
        <v>-0.85000000000000053</v>
      </c>
      <c r="BA25" s="5">
        <f t="shared" si="8"/>
        <v>1.5</v>
      </c>
      <c r="BB25">
        <f t="shared" si="9"/>
        <v>-0.88049999999999984</v>
      </c>
      <c r="BD25">
        <f>'model coef'!J18</f>
        <v>-0.58699999999999997</v>
      </c>
      <c r="BE25">
        <f t="shared" si="10"/>
        <v>-0.6120000000000001</v>
      </c>
      <c r="BF25">
        <v>-4.5999999999999999E-3</v>
      </c>
      <c r="BH25">
        <f t="shared" si="11"/>
        <v>-0.88049999999999984</v>
      </c>
    </row>
    <row r="26" spans="1:60" x14ac:dyDescent="0.15">
      <c r="A26" s="1" t="s">
        <v>50</v>
      </c>
      <c r="B26" s="1">
        <f>AH10</f>
        <v>3.0309325951756588E-3</v>
      </c>
      <c r="D26" s="14">
        <v>2</v>
      </c>
      <c r="E26" s="10">
        <f t="shared" si="0"/>
        <v>5.7553047657041339E-3</v>
      </c>
      <c r="F26" s="11">
        <v>0.6</v>
      </c>
      <c r="G26" s="9">
        <f t="shared" si="16"/>
        <v>0.73817342135842301</v>
      </c>
      <c r="I26" s="6">
        <v>2</v>
      </c>
      <c r="J26">
        <f>'model coef'!D19</f>
        <v>400</v>
      </c>
      <c r="K26">
        <f>'model coef'!E19</f>
        <v>-0.29899999999999999</v>
      </c>
      <c r="L26">
        <f>'model coef'!F19</f>
        <v>1.18</v>
      </c>
      <c r="M26">
        <f>'model coef'!G19</f>
        <v>1.88</v>
      </c>
      <c r="N26">
        <f>'model coef'!H19</f>
        <v>10</v>
      </c>
      <c r="O26" s="5">
        <f>'model coef'!BT19</f>
        <v>0.64875000000000005</v>
      </c>
      <c r="P26">
        <f t="shared" si="1"/>
        <v>-0.55000000000000004</v>
      </c>
      <c r="Q26">
        <f>'model coef'!K19</f>
        <v>0.1</v>
      </c>
      <c r="R26">
        <f>'model coef'!L19</f>
        <v>0.68</v>
      </c>
      <c r="S26">
        <f>'model coef'!M19</f>
        <v>0</v>
      </c>
      <c r="T26" s="15">
        <f>'model coef'!BM19</f>
        <v>-5.1000000000000004E-3</v>
      </c>
      <c r="U26">
        <f>'model coef'!O19</f>
        <v>0</v>
      </c>
      <c r="V26">
        <f>'model coef'!P19</f>
        <v>0</v>
      </c>
      <c r="W26">
        <f>'model coef'!Q19</f>
        <v>0.4</v>
      </c>
      <c r="X26">
        <f>'model coef'!R19</f>
        <v>1.73</v>
      </c>
      <c r="Y26" s="8">
        <f>'model coef'!S19</f>
        <v>7.0000000000000001E-3</v>
      </c>
      <c r="Z26" s="5">
        <f>'model coef'!BF19</f>
        <v>-0.48699999999999999</v>
      </c>
      <c r="AA26">
        <f>'model coef'!U19</f>
        <v>-6.0999999999999999E-2</v>
      </c>
      <c r="AB26" s="5">
        <f>'model coef'!V19</f>
        <v>-0.30099999999999999</v>
      </c>
      <c r="AC26">
        <f>'model coef'!W19</f>
        <v>0</v>
      </c>
      <c r="AD26">
        <f>'model coef'!X19</f>
        <v>0</v>
      </c>
      <c r="AE26" s="5">
        <v>0.6</v>
      </c>
      <c r="AF26" s="5">
        <v>0.43</v>
      </c>
      <c r="AG26" s="5">
        <f t="shared" si="17"/>
        <v>0.73817342135842301</v>
      </c>
      <c r="AI26">
        <f>'model coef'!BA19</f>
        <v>0</v>
      </c>
      <c r="AJ26">
        <v>0</v>
      </c>
      <c r="AK26">
        <f t="shared" si="2"/>
        <v>5.7553047657041339E-3</v>
      </c>
      <c r="AL26" s="1">
        <f t="shared" si="3"/>
        <v>0.73817342135842301</v>
      </c>
      <c r="AM26" s="12">
        <f t="shared" si="4"/>
        <v>316.16074402192896</v>
      </c>
      <c r="AN26" s="1">
        <f t="shared" si="12"/>
        <v>-4.9391944495249787</v>
      </c>
      <c r="AO26" s="1">
        <f t="shared" si="18"/>
        <v>-0.47823999999999994</v>
      </c>
      <c r="AP26" s="1">
        <f t="shared" si="5"/>
        <v>-7.0000000000000007E-2</v>
      </c>
      <c r="AQ26" s="1">
        <f t="shared" si="19"/>
        <v>0</v>
      </c>
      <c r="AR26" s="7"/>
      <c r="AS26" s="1">
        <f t="shared" si="20"/>
        <v>270</v>
      </c>
      <c r="AT26" s="1">
        <f t="shared" si="13"/>
        <v>0.32980116799639736</v>
      </c>
      <c r="AU26">
        <f>'model coef'!$C19</f>
        <v>8</v>
      </c>
      <c r="AV26">
        <v>7.2</v>
      </c>
      <c r="AW26">
        <f t="shared" si="6"/>
        <v>7.2</v>
      </c>
      <c r="AX26">
        <f t="shared" si="7"/>
        <v>-0.79999999999999982</v>
      </c>
      <c r="BA26" s="5">
        <f t="shared" si="8"/>
        <v>2</v>
      </c>
      <c r="BB26">
        <f t="shared" si="9"/>
        <v>-0.83982000000000001</v>
      </c>
      <c r="BD26">
        <f>'model coef'!J19</f>
        <v>-0.53</v>
      </c>
      <c r="BE26">
        <f t="shared" si="10"/>
        <v>-0.55000000000000004</v>
      </c>
      <c r="BF26">
        <v>-4.4000000000000003E-3</v>
      </c>
      <c r="BH26">
        <f t="shared" si="11"/>
        <v>-0.83982000000000001</v>
      </c>
    </row>
    <row r="27" spans="1:60" x14ac:dyDescent="0.15">
      <c r="D27" s="14">
        <v>2.5</v>
      </c>
      <c r="E27" s="10">
        <f t="shared" si="0"/>
        <v>4.3458479747042105E-3</v>
      </c>
      <c r="F27" s="11">
        <v>0.6</v>
      </c>
      <c r="G27" s="9">
        <f t="shared" si="16"/>
        <v>0.73817342135842301</v>
      </c>
      <c r="I27" s="6">
        <v>2.5</v>
      </c>
      <c r="J27">
        <f>'model coef'!D20</f>
        <v>400</v>
      </c>
      <c r="K27">
        <f>'model coef'!E20</f>
        <v>0</v>
      </c>
      <c r="L27">
        <f>'model coef'!F20</f>
        <v>1.18</v>
      </c>
      <c r="M27">
        <f>'model coef'!G20</f>
        <v>1.88</v>
      </c>
      <c r="N27">
        <f>'model coef'!H20</f>
        <v>10</v>
      </c>
      <c r="O27" s="5">
        <f>'model coef'!BT20</f>
        <v>8.2210000000000005E-2</v>
      </c>
      <c r="P27">
        <f t="shared" si="1"/>
        <v>-0.501</v>
      </c>
      <c r="Q27">
        <f>'model coef'!K20</f>
        <v>0.1</v>
      </c>
      <c r="R27">
        <f>'model coef'!L20</f>
        <v>0.68</v>
      </c>
      <c r="S27">
        <f>'model coef'!M20</f>
        <v>0</v>
      </c>
      <c r="T27" s="15">
        <f>'model coef'!BM20</f>
        <v>-4.6500000000000005E-3</v>
      </c>
      <c r="U27">
        <f>'model coef'!O20</f>
        <v>0</v>
      </c>
      <c r="V27">
        <f>'model coef'!P20</f>
        <v>0</v>
      </c>
      <c r="W27">
        <f>'model coef'!Q20</f>
        <v>0.4</v>
      </c>
      <c r="X27">
        <f>'model coef'!R20</f>
        <v>1.73</v>
      </c>
      <c r="Y27" s="8">
        <f>'model coef'!S20</f>
        <v>6.0000000000000001E-3</v>
      </c>
      <c r="Z27" s="5">
        <f>'model coef'!BF20</f>
        <v>-0.77</v>
      </c>
      <c r="AA27">
        <f>'model coef'!U20</f>
        <v>-7.1099999999999997E-2</v>
      </c>
      <c r="AB27" s="5">
        <f>'model coef'!V20</f>
        <v>-0.313</v>
      </c>
      <c r="AC27">
        <f>'model coef'!W20</f>
        <v>0</v>
      </c>
      <c r="AD27">
        <f>'model coef'!X20</f>
        <v>0</v>
      </c>
      <c r="AE27" s="5">
        <v>0.6</v>
      </c>
      <c r="AF27" s="5">
        <v>0.43</v>
      </c>
      <c r="AG27" s="5">
        <f t="shared" si="17"/>
        <v>0.73817342135842301</v>
      </c>
      <c r="AI27">
        <f>'model coef'!BA20</f>
        <v>0</v>
      </c>
      <c r="AJ27">
        <v>0</v>
      </c>
      <c r="AK27">
        <f t="shared" si="2"/>
        <v>4.3458479747042105E-3</v>
      </c>
      <c r="AL27" s="1">
        <f t="shared" si="3"/>
        <v>0.73817342135842301</v>
      </c>
      <c r="AM27" s="12">
        <f t="shared" si="4"/>
        <v>316.16074402192896</v>
      </c>
      <c r="AN27" s="1">
        <f t="shared" si="12"/>
        <v>-5.1237531711139752</v>
      </c>
      <c r="AO27" s="1">
        <f t="shared" si="18"/>
        <v>-0.55742399999999992</v>
      </c>
      <c r="AP27" s="1">
        <f t="shared" si="5"/>
        <v>-0.06</v>
      </c>
      <c r="AQ27" s="1">
        <f t="shared" si="19"/>
        <v>0</v>
      </c>
      <c r="AR27" s="7"/>
      <c r="AS27" s="1">
        <f t="shared" si="20"/>
        <v>270</v>
      </c>
      <c r="AT27" s="1">
        <f t="shared" si="13"/>
        <v>0.30264279284439755</v>
      </c>
      <c r="AU27">
        <f>'model coef'!$C20</f>
        <v>7.95</v>
      </c>
      <c r="AV27">
        <v>7.2</v>
      </c>
      <c r="AW27">
        <f t="shared" si="6"/>
        <v>7.2</v>
      </c>
      <c r="AX27">
        <f t="shared" si="7"/>
        <v>-0.75</v>
      </c>
      <c r="BA27" s="5">
        <f t="shared" si="8"/>
        <v>2.5</v>
      </c>
      <c r="BB27">
        <f t="shared" si="9"/>
        <v>-0.77</v>
      </c>
      <c r="BD27">
        <f>'model coef'!J20</f>
        <v>-0.48599999999999999</v>
      </c>
      <c r="BE27">
        <f t="shared" si="10"/>
        <v>-0.501</v>
      </c>
      <c r="BF27">
        <v>-4.4000000000000003E-3</v>
      </c>
      <c r="BH27">
        <f t="shared" si="11"/>
        <v>-0.77</v>
      </c>
    </row>
    <row r="28" spans="1:60" x14ac:dyDescent="0.15">
      <c r="D28" s="14">
        <v>3</v>
      </c>
      <c r="E28" s="10">
        <f t="shared" si="0"/>
        <v>3.4815364095371693E-3</v>
      </c>
      <c r="F28" s="11">
        <v>0.6</v>
      </c>
      <c r="G28" s="9">
        <f t="shared" si="16"/>
        <v>0.73817342135842301</v>
      </c>
      <c r="I28" s="6">
        <v>3</v>
      </c>
      <c r="J28">
        <f>'model coef'!D21</f>
        <v>400</v>
      </c>
      <c r="K28">
        <f>'model coef'!E21</f>
        <v>0</v>
      </c>
      <c r="L28">
        <f>'model coef'!F21</f>
        <v>1.18</v>
      </c>
      <c r="M28">
        <f>'model coef'!G21</f>
        <v>1.88</v>
      </c>
      <c r="N28">
        <f>'model coef'!H21</f>
        <v>10</v>
      </c>
      <c r="O28" s="5">
        <f>'model coef'!BT21</f>
        <v>-0.36925999999999998</v>
      </c>
      <c r="P28">
        <f t="shared" si="1"/>
        <v>-0.46000000000000008</v>
      </c>
      <c r="Q28">
        <f>'model coef'!K21</f>
        <v>0.1</v>
      </c>
      <c r="R28">
        <f>'model coef'!L21</f>
        <v>0.68</v>
      </c>
      <c r="S28">
        <f>'model coef'!M21</f>
        <v>0</v>
      </c>
      <c r="T28" s="15">
        <f>'model coef'!BM21</f>
        <v>-4.3E-3</v>
      </c>
      <c r="U28">
        <f>'model coef'!O21</f>
        <v>0</v>
      </c>
      <c r="V28">
        <f>'model coef'!P21</f>
        <v>0</v>
      </c>
      <c r="W28">
        <f>'model coef'!Q21</f>
        <v>0.4</v>
      </c>
      <c r="X28">
        <f>'model coef'!R21</f>
        <v>1.73</v>
      </c>
      <c r="Y28" s="8">
        <f>'model coef'!S21</f>
        <v>5.1999999999999998E-3</v>
      </c>
      <c r="Z28" s="5">
        <f>'model coef'!BF21</f>
        <v>-0.70000000000000007</v>
      </c>
      <c r="AA28">
        <f>'model coef'!U21</f>
        <v>-7.9799999999999996E-2</v>
      </c>
      <c r="AB28" s="5">
        <f>'model coef'!V21</f>
        <v>-0.32300000000000001</v>
      </c>
      <c r="AC28">
        <f>'model coef'!W21</f>
        <v>0</v>
      </c>
      <c r="AD28">
        <f>'model coef'!X21</f>
        <v>0</v>
      </c>
      <c r="AE28" s="5">
        <v>0.6</v>
      </c>
      <c r="AF28" s="5">
        <v>0.43</v>
      </c>
      <c r="AG28" s="5">
        <f t="shared" si="17"/>
        <v>0.73817342135842301</v>
      </c>
      <c r="AI28">
        <f>'model coef'!BA21</f>
        <v>0</v>
      </c>
      <c r="AJ28">
        <v>0</v>
      </c>
      <c r="AK28">
        <f t="shared" si="2"/>
        <v>3.4815364095371693E-3</v>
      </c>
      <c r="AL28" s="1">
        <f t="shared" si="3"/>
        <v>0.73817342135842301</v>
      </c>
      <c r="AM28" s="12">
        <f t="shared" si="4"/>
        <v>316.16074402192896</v>
      </c>
      <c r="AN28" s="1">
        <f t="shared" si="12"/>
        <v>-5.2577793973101619</v>
      </c>
      <c r="AO28" s="1">
        <f t="shared" si="18"/>
        <v>-0.62563199999999985</v>
      </c>
      <c r="AP28" s="1">
        <f t="shared" si="5"/>
        <v>-5.1999999999999998E-2</v>
      </c>
      <c r="AQ28" s="1">
        <f t="shared" si="19"/>
        <v>0</v>
      </c>
      <c r="AR28" s="7"/>
      <c r="AS28" s="1">
        <f t="shared" si="20"/>
        <v>270</v>
      </c>
      <c r="AT28" s="1">
        <f t="shared" si="13"/>
        <v>0.27512981167672507</v>
      </c>
      <c r="AU28">
        <f>'model coef'!$C21</f>
        <v>7.9</v>
      </c>
      <c r="AV28">
        <v>7.2</v>
      </c>
      <c r="AW28">
        <f t="shared" si="6"/>
        <v>7.2</v>
      </c>
      <c r="AX28">
        <f t="shared" si="7"/>
        <v>-0.70000000000000018</v>
      </c>
      <c r="BA28" s="5">
        <f t="shared" si="8"/>
        <v>3</v>
      </c>
      <c r="BB28">
        <f t="shared" si="9"/>
        <v>-0.70000000000000007</v>
      </c>
      <c r="BD28">
        <f>'model coef'!J21</f>
        <v>-0.45</v>
      </c>
      <c r="BE28">
        <f t="shared" si="10"/>
        <v>-0.46000000000000008</v>
      </c>
      <c r="BF28">
        <v>-4.4000000000000003E-3</v>
      </c>
      <c r="BH28">
        <f t="shared" si="11"/>
        <v>-0.70000000000000007</v>
      </c>
    </row>
    <row r="29" spans="1:60" x14ac:dyDescent="0.15">
      <c r="D29" s="14">
        <v>4</v>
      </c>
      <c r="E29" s="10">
        <f t="shared" si="0"/>
        <v>2.3849311785648125E-3</v>
      </c>
      <c r="F29" s="11">
        <v>0.6</v>
      </c>
      <c r="G29" s="9">
        <f t="shared" si="16"/>
        <v>0.73817342135842301</v>
      </c>
      <c r="I29" s="6">
        <v>4</v>
      </c>
      <c r="J29">
        <f>'model coef'!D22</f>
        <v>400</v>
      </c>
      <c r="K29">
        <f>'model coef'!E22</f>
        <v>0</v>
      </c>
      <c r="L29">
        <f>'model coef'!F22</f>
        <v>1.18</v>
      </c>
      <c r="M29">
        <f>'model coef'!G22</f>
        <v>1.88</v>
      </c>
      <c r="N29">
        <f>'model coef'!H22</f>
        <v>10</v>
      </c>
      <c r="O29" s="5">
        <f>'model coef'!BT22</f>
        <v>-1.0343899999999999</v>
      </c>
      <c r="P29">
        <f t="shared" si="1"/>
        <v>-0.45500000000000002</v>
      </c>
      <c r="Q29">
        <f>'model coef'!K22</f>
        <v>0.1</v>
      </c>
      <c r="R29">
        <f>'model coef'!L22</f>
        <v>0.68</v>
      </c>
      <c r="S29">
        <f>'model coef'!M22</f>
        <v>0</v>
      </c>
      <c r="T29" s="15">
        <f>'model coef'!BM22</f>
        <v>-3.9000000000000003E-3</v>
      </c>
      <c r="U29">
        <f>'model coef'!O22</f>
        <v>0</v>
      </c>
      <c r="V29">
        <f>'model coef'!P22</f>
        <v>0</v>
      </c>
      <c r="W29">
        <f>'model coef'!Q22</f>
        <v>0.4</v>
      </c>
      <c r="X29">
        <f>'model coef'!R22</f>
        <v>1.73</v>
      </c>
      <c r="Y29" s="8">
        <f>'model coef'!S22</f>
        <v>4.0000000000000001E-3</v>
      </c>
      <c r="Z29" s="5">
        <f>'model coef'!BF22</f>
        <v>-0.60699999999999998</v>
      </c>
      <c r="AA29">
        <f>'model coef'!U22</f>
        <v>-9.35E-2</v>
      </c>
      <c r="AB29" s="5">
        <f>'model coef'!V22</f>
        <v>-0.28199999999999997</v>
      </c>
      <c r="AC29">
        <f>'model coef'!W22</f>
        <v>0</v>
      </c>
      <c r="AD29">
        <f>'model coef'!X22</f>
        <v>0</v>
      </c>
      <c r="AE29" s="5">
        <v>0.6</v>
      </c>
      <c r="AF29" s="5">
        <v>0.43</v>
      </c>
      <c r="AG29" s="5">
        <f t="shared" si="17"/>
        <v>0.73817342135842301</v>
      </c>
      <c r="AI29">
        <f>'model coef'!BA22</f>
        <v>0</v>
      </c>
      <c r="AJ29">
        <v>0</v>
      </c>
      <c r="AK29">
        <f t="shared" si="2"/>
        <v>2.3849311785648125E-3</v>
      </c>
      <c r="AL29" s="1">
        <f t="shared" si="3"/>
        <v>0.73817342135842301</v>
      </c>
      <c r="AM29" s="12">
        <f t="shared" si="4"/>
        <v>316.16074402192896</v>
      </c>
      <c r="AN29" s="1">
        <f t="shared" si="12"/>
        <v>-5.5041218619883727</v>
      </c>
      <c r="AO29" s="1">
        <f t="shared" si="18"/>
        <v>-0.73303999999999991</v>
      </c>
      <c r="AP29" s="1">
        <f t="shared" si="5"/>
        <v>-0.04</v>
      </c>
      <c r="AQ29" s="1">
        <f t="shared" si="19"/>
        <v>0</v>
      </c>
      <c r="AR29" s="7"/>
      <c r="AS29" s="1">
        <f t="shared" si="20"/>
        <v>270</v>
      </c>
      <c r="AT29" s="1">
        <f t="shared" si="13"/>
        <v>0.23857685098253156</v>
      </c>
      <c r="AU29">
        <f>'model coef'!$C22</f>
        <v>7.85</v>
      </c>
      <c r="AV29">
        <v>7.2</v>
      </c>
      <c r="AW29">
        <f t="shared" si="6"/>
        <v>7.2</v>
      </c>
      <c r="AX29">
        <f t="shared" si="7"/>
        <v>-0.64999999999999947</v>
      </c>
      <c r="BA29" s="5">
        <f t="shared" si="8"/>
        <v>4</v>
      </c>
      <c r="BB29">
        <f t="shared" si="9"/>
        <v>-0.60699999999999998</v>
      </c>
      <c r="BD29">
        <f>'model coef'!J22</f>
        <v>-0.45</v>
      </c>
      <c r="BE29">
        <f t="shared" si="10"/>
        <v>-0.45500000000000002</v>
      </c>
      <c r="BF29">
        <v>-4.4000000000000003E-3</v>
      </c>
      <c r="BH29">
        <f t="shared" si="11"/>
        <v>-0.60699999999999998</v>
      </c>
    </row>
    <row r="30" spans="1:60" x14ac:dyDescent="0.15">
      <c r="D30" s="14">
        <v>5</v>
      </c>
      <c r="E30" s="10">
        <f t="shared" si="0"/>
        <v>1.8390657405733147E-3</v>
      </c>
      <c r="F30" s="11">
        <v>0.6</v>
      </c>
      <c r="G30" s="9">
        <f t="shared" si="16"/>
        <v>0.73817342135842301</v>
      </c>
      <c r="I30" s="6">
        <v>5</v>
      </c>
      <c r="J30">
        <f>'model coef'!D23</f>
        <v>400</v>
      </c>
      <c r="K30">
        <f>'model coef'!E23</f>
        <v>0</v>
      </c>
      <c r="L30">
        <f>'model coef'!F23</f>
        <v>1.18</v>
      </c>
      <c r="M30">
        <f>'model coef'!G23</f>
        <v>1.88</v>
      </c>
      <c r="N30">
        <f>'model coef'!H23</f>
        <v>10</v>
      </c>
      <c r="O30" s="5">
        <f>'model coef'!BT23</f>
        <v>-1.5196700000000001</v>
      </c>
      <c r="P30">
        <f t="shared" si="1"/>
        <v>-0.45</v>
      </c>
      <c r="Q30">
        <f>'model coef'!K23</f>
        <v>0.1</v>
      </c>
      <c r="R30">
        <f>'model coef'!L23</f>
        <v>0.73</v>
      </c>
      <c r="S30">
        <f>'model coef'!M23</f>
        <v>0</v>
      </c>
      <c r="T30" s="15">
        <f>'model coef'!BM23</f>
        <v>-3.7000000000000002E-3</v>
      </c>
      <c r="U30">
        <f>'model coef'!O23</f>
        <v>0</v>
      </c>
      <c r="V30">
        <f>'model coef'!P23</f>
        <v>0</v>
      </c>
      <c r="W30">
        <f>'model coef'!Q23</f>
        <v>0.4</v>
      </c>
      <c r="X30">
        <f>'model coef'!R23</f>
        <v>1.73</v>
      </c>
      <c r="Y30" s="8">
        <f>'model coef'!S23</f>
        <v>3.0000000000000001E-3</v>
      </c>
      <c r="Z30" s="5">
        <f>'model coef'!BF23</f>
        <v>-0.54</v>
      </c>
      <c r="AA30">
        <f>'model coef'!U23</f>
        <v>-9.8000000000000004E-2</v>
      </c>
      <c r="AB30" s="5">
        <f>'model coef'!V23</f>
        <v>-0.25</v>
      </c>
      <c r="AC30">
        <f>'model coef'!W23</f>
        <v>0</v>
      </c>
      <c r="AD30">
        <f>'model coef'!X23</f>
        <v>0</v>
      </c>
      <c r="AE30" s="5">
        <v>0.6</v>
      </c>
      <c r="AF30" s="5">
        <v>0.43</v>
      </c>
      <c r="AG30" s="5">
        <f t="shared" si="17"/>
        <v>0.73817342135842301</v>
      </c>
      <c r="AI30">
        <f>'model coef'!BA23</f>
        <v>0</v>
      </c>
      <c r="AJ30">
        <v>0</v>
      </c>
      <c r="AK30">
        <f t="shared" si="2"/>
        <v>1.8390657405733147E-3</v>
      </c>
      <c r="AL30" s="1">
        <f t="shared" si="3"/>
        <v>0.73817342135842301</v>
      </c>
      <c r="AM30" s="12">
        <f t="shared" si="4"/>
        <v>316.16074402192896</v>
      </c>
      <c r="AN30" s="1">
        <f t="shared" si="12"/>
        <v>-5.7124205835773703</v>
      </c>
      <c r="AO30" s="1">
        <f t="shared" si="18"/>
        <v>-0.76831999999999989</v>
      </c>
      <c r="AP30" s="1">
        <f t="shared" si="5"/>
        <v>-0.03</v>
      </c>
      <c r="AQ30" s="1">
        <f t="shared" si="19"/>
        <v>0</v>
      </c>
      <c r="AR30" s="7"/>
      <c r="AS30" s="1">
        <f t="shared" si="20"/>
        <v>270</v>
      </c>
      <c r="AT30" s="1">
        <f t="shared" si="13"/>
        <v>0.21224299757918788</v>
      </c>
      <c r="AU30">
        <f>'model coef'!$C23</f>
        <v>7.8</v>
      </c>
      <c r="AV30">
        <v>7.2</v>
      </c>
      <c r="AW30">
        <f t="shared" si="6"/>
        <v>7.2</v>
      </c>
      <c r="AX30">
        <f t="shared" si="7"/>
        <v>-0.59999999999999964</v>
      </c>
      <c r="BA30" s="5">
        <f t="shared" si="8"/>
        <v>5</v>
      </c>
      <c r="BB30">
        <f t="shared" si="9"/>
        <v>-0.54</v>
      </c>
      <c r="BD30">
        <f>'model coef'!J23</f>
        <v>-0.45</v>
      </c>
      <c r="BE30">
        <f t="shared" si="10"/>
        <v>-0.45</v>
      </c>
      <c r="BF30">
        <v>-4.4000000000000003E-3</v>
      </c>
      <c r="BH30">
        <f t="shared" si="11"/>
        <v>-0.54</v>
      </c>
    </row>
    <row r="31" spans="1:60" x14ac:dyDescent="0.15">
      <c r="D31" s="14">
        <v>6</v>
      </c>
      <c r="E31" s="10">
        <f t="shared" si="0"/>
        <v>1.3657477694801992E-3</v>
      </c>
      <c r="F31" s="11">
        <v>0.6</v>
      </c>
      <c r="G31" s="9">
        <f t="shared" si="16"/>
        <v>0.73817342135842301</v>
      </c>
      <c r="I31" s="6">
        <v>6</v>
      </c>
      <c r="J31">
        <f>'model coef'!D24</f>
        <v>400</v>
      </c>
      <c r="K31">
        <f>'model coef'!E24</f>
        <v>0</v>
      </c>
      <c r="L31">
        <f>'model coef'!F24</f>
        <v>1.18</v>
      </c>
      <c r="M31">
        <f>'model coef'!G24</f>
        <v>1.88</v>
      </c>
      <c r="N31">
        <f>'model coef'!H24</f>
        <v>10</v>
      </c>
      <c r="O31" s="5">
        <f>'model coef'!BT24</f>
        <v>-1.8102499999999999</v>
      </c>
      <c r="P31">
        <f t="shared" si="1"/>
        <v>-0.45</v>
      </c>
      <c r="Q31">
        <f>'model coef'!K24</f>
        <v>0.1</v>
      </c>
      <c r="R31">
        <f>'model coef'!L24</f>
        <v>0.78</v>
      </c>
      <c r="S31">
        <f>'model coef'!M24</f>
        <v>0</v>
      </c>
      <c r="T31" s="15">
        <f>'model coef'!BM24</f>
        <v>-3.5700000000000003E-3</v>
      </c>
      <c r="U31">
        <f>'model coef'!O24</f>
        <v>0</v>
      </c>
      <c r="V31">
        <f>'model coef'!P24</f>
        <v>0</v>
      </c>
      <c r="W31">
        <f>'model coef'!Q24</f>
        <v>0.4</v>
      </c>
      <c r="X31">
        <f>'model coef'!R24</f>
        <v>1.73</v>
      </c>
      <c r="Y31" s="8">
        <f>'model coef'!S24</f>
        <v>2.2000000000000001E-3</v>
      </c>
      <c r="Z31" s="5">
        <f>'model coef'!BF24</f>
        <v>-0.47900000000000004</v>
      </c>
      <c r="AA31">
        <f>'model coef'!U24</f>
        <v>-9.8000000000000004E-2</v>
      </c>
      <c r="AB31" s="5">
        <f>'model coef'!V24</f>
        <v>-0.25</v>
      </c>
      <c r="AC31">
        <f>'model coef'!W24</f>
        <v>0</v>
      </c>
      <c r="AD31">
        <f>'model coef'!X24</f>
        <v>0</v>
      </c>
      <c r="AE31" s="5">
        <v>0.6</v>
      </c>
      <c r="AF31" s="5">
        <v>0.43</v>
      </c>
      <c r="AG31" s="5">
        <f t="shared" si="17"/>
        <v>0.73817342135842301</v>
      </c>
      <c r="AI31">
        <f>'model coef'!BA24</f>
        <v>0</v>
      </c>
      <c r="AJ31">
        <v>0</v>
      </c>
      <c r="AK31">
        <f t="shared" si="2"/>
        <v>1.3657477694801992E-3</v>
      </c>
      <c r="AL31" s="1">
        <f t="shared" si="3"/>
        <v>0.73817342135842301</v>
      </c>
      <c r="AM31" s="12">
        <f t="shared" si="4"/>
        <v>316.16074402192896</v>
      </c>
      <c r="AN31" s="1">
        <f t="shared" si="12"/>
        <v>-5.9940005835773693</v>
      </c>
      <c r="AO31" s="1">
        <f t="shared" si="18"/>
        <v>-0.76831999999999989</v>
      </c>
      <c r="AP31" s="1">
        <f t="shared" si="5"/>
        <v>-2.2000000000000002E-2</v>
      </c>
      <c r="AQ31" s="1">
        <f t="shared" si="19"/>
        <v>0</v>
      </c>
      <c r="AR31" s="7"/>
      <c r="AS31" s="1">
        <f t="shared" si="20"/>
        <v>270</v>
      </c>
      <c r="AT31" s="1">
        <f t="shared" si="13"/>
        <v>0.18826739970450185</v>
      </c>
      <c r="AU31">
        <f>'model coef'!$C24</f>
        <v>7.8</v>
      </c>
      <c r="AV31">
        <v>7.2</v>
      </c>
      <c r="AW31">
        <f t="shared" si="6"/>
        <v>7.2</v>
      </c>
      <c r="AX31">
        <f t="shared" si="7"/>
        <v>-0.59999999999999964</v>
      </c>
      <c r="BA31" s="5">
        <f t="shared" si="8"/>
        <v>6</v>
      </c>
      <c r="BB31">
        <f t="shared" si="9"/>
        <v>-0.47900000000000004</v>
      </c>
      <c r="BD31">
        <f>'model coef'!J24</f>
        <v>-0.45</v>
      </c>
      <c r="BE31">
        <f t="shared" si="10"/>
        <v>-0.45</v>
      </c>
      <c r="BF31">
        <v>-4.4000000000000003E-3</v>
      </c>
      <c r="BH31">
        <f t="shared" si="11"/>
        <v>-0.47900000000000004</v>
      </c>
    </row>
    <row r="32" spans="1:60" x14ac:dyDescent="0.15">
      <c r="D32" s="14">
        <v>7.5</v>
      </c>
      <c r="E32" s="10">
        <f t="shared" si="0"/>
        <v>9.4125652514400306E-4</v>
      </c>
      <c r="F32" s="11">
        <v>0.6</v>
      </c>
      <c r="G32" s="9">
        <f t="shared" si="16"/>
        <v>0.73817342135842301</v>
      </c>
      <c r="I32" s="6">
        <v>7.5</v>
      </c>
      <c r="J32">
        <f>'model coef'!D25</f>
        <v>400</v>
      </c>
      <c r="K32">
        <f>'model coef'!E25</f>
        <v>0</v>
      </c>
      <c r="L32">
        <f>'model coef'!F25</f>
        <v>1.18</v>
      </c>
      <c r="M32">
        <f>'model coef'!G25</f>
        <v>1.88</v>
      </c>
      <c r="N32">
        <f>'model coef'!H25</f>
        <v>10</v>
      </c>
      <c r="O32" s="5">
        <f>'model coef'!BT25</f>
        <v>-2.1726899999999998</v>
      </c>
      <c r="P32">
        <f t="shared" si="1"/>
        <v>-0.45</v>
      </c>
      <c r="Q32">
        <f>'model coef'!K25</f>
        <v>0.1</v>
      </c>
      <c r="R32">
        <f>'model coef'!L25</f>
        <v>0.84</v>
      </c>
      <c r="S32">
        <f>'model coef'!M25</f>
        <v>0</v>
      </c>
      <c r="T32" s="15">
        <f>'model coef'!BM25</f>
        <v>-3.4000000000000002E-3</v>
      </c>
      <c r="U32">
        <f>'model coef'!O25</f>
        <v>0</v>
      </c>
      <c r="V32">
        <f>'model coef'!P25</f>
        <v>0</v>
      </c>
      <c r="W32">
        <f>'model coef'!Q25</f>
        <v>0.4</v>
      </c>
      <c r="X32">
        <f>'model coef'!R25</f>
        <v>1.73</v>
      </c>
      <c r="Y32" s="8">
        <f>'model coef'!S25</f>
        <v>1.2999999999999999E-3</v>
      </c>
      <c r="Z32" s="5">
        <f>'model coef'!BF25</f>
        <v>-0.39300000000000002</v>
      </c>
      <c r="AA32">
        <f>'model coef'!U25</f>
        <v>-9.8000000000000004E-2</v>
      </c>
      <c r="AB32" s="5">
        <f>'model coef'!V25</f>
        <v>-0.25</v>
      </c>
      <c r="AC32">
        <f>'model coef'!W25</f>
        <v>0</v>
      </c>
      <c r="AD32">
        <f>'model coef'!X25</f>
        <v>0</v>
      </c>
      <c r="AE32" s="5">
        <v>0.6</v>
      </c>
      <c r="AF32" s="5">
        <v>0.43</v>
      </c>
      <c r="AG32" s="5">
        <f t="shared" si="17"/>
        <v>0.73817342135842301</v>
      </c>
      <c r="AI32">
        <f>'model coef'!BA25</f>
        <v>0</v>
      </c>
      <c r="AJ32">
        <v>0</v>
      </c>
      <c r="AK32">
        <f t="shared" si="2"/>
        <v>9.4125652514400306E-4</v>
      </c>
      <c r="AL32" s="1">
        <f t="shared" si="3"/>
        <v>0.73817342135842301</v>
      </c>
      <c r="AM32" s="12">
        <f t="shared" si="4"/>
        <v>316.16074402192896</v>
      </c>
      <c r="AN32" s="1">
        <f t="shared" si="12"/>
        <v>-6.3414405835773682</v>
      </c>
      <c r="AO32" s="1">
        <f t="shared" si="18"/>
        <v>-0.76831999999999989</v>
      </c>
      <c r="AP32" s="1">
        <f t="shared" si="5"/>
        <v>-1.2999999999999999E-2</v>
      </c>
      <c r="AQ32" s="1">
        <f t="shared" si="19"/>
        <v>0</v>
      </c>
      <c r="AR32" s="7"/>
      <c r="AS32" s="1">
        <f t="shared" si="20"/>
        <v>270</v>
      </c>
      <c r="AT32" s="1">
        <f t="shared" si="13"/>
        <v>0.15446573712707562</v>
      </c>
      <c r="AU32">
        <f>'model coef'!$C25</f>
        <v>7.8</v>
      </c>
      <c r="AV32">
        <v>7.2</v>
      </c>
      <c r="AW32">
        <f t="shared" si="6"/>
        <v>7.2</v>
      </c>
      <c r="AX32">
        <f t="shared" si="7"/>
        <v>-0.59999999999999964</v>
      </c>
      <c r="BA32" s="5">
        <f t="shared" si="8"/>
        <v>7.5</v>
      </c>
      <c r="BB32">
        <f t="shared" si="9"/>
        <v>-0.39300000000000002</v>
      </c>
      <c r="BD32">
        <f>'model coef'!J25</f>
        <v>-0.45</v>
      </c>
      <c r="BE32">
        <f t="shared" si="10"/>
        <v>-0.45</v>
      </c>
      <c r="BF32">
        <v>-4.4000000000000003E-3</v>
      </c>
      <c r="BH32">
        <f t="shared" si="11"/>
        <v>-0.39300000000000002</v>
      </c>
    </row>
    <row r="33" spans="4:60" x14ac:dyDescent="0.15">
      <c r="D33" s="14">
        <v>10</v>
      </c>
      <c r="E33" s="10">
        <f t="shared" si="0"/>
        <v>5.3871403360803143E-4</v>
      </c>
      <c r="F33" s="11">
        <v>0.6</v>
      </c>
      <c r="G33" s="9">
        <f t="shared" si="16"/>
        <v>0.73817342135842301</v>
      </c>
      <c r="I33" s="6">
        <v>10</v>
      </c>
      <c r="J33">
        <f>'model coef'!D26</f>
        <v>400</v>
      </c>
      <c r="K33">
        <f>'model coef'!E26</f>
        <v>0</v>
      </c>
      <c r="L33">
        <f>'model coef'!F26</f>
        <v>1.18</v>
      </c>
      <c r="M33">
        <f>'model coef'!G26</f>
        <v>1.88</v>
      </c>
      <c r="N33">
        <f>'model coef'!H26</f>
        <v>10</v>
      </c>
      <c r="O33" s="5">
        <f>'model coef'!BT26</f>
        <v>-2.7118199999999999</v>
      </c>
      <c r="P33">
        <f t="shared" si="1"/>
        <v>-0.45</v>
      </c>
      <c r="Q33">
        <f>'model coef'!K26</f>
        <v>0.1</v>
      </c>
      <c r="R33">
        <f>'model coef'!L26</f>
        <v>0.93</v>
      </c>
      <c r="S33">
        <f>'model coef'!M26</f>
        <v>0</v>
      </c>
      <c r="T33" s="15">
        <f>'model coef'!BM26</f>
        <v>-3.2700000000000003E-3</v>
      </c>
      <c r="U33">
        <f>'model coef'!O26</f>
        <v>0</v>
      </c>
      <c r="V33">
        <f>'model coef'!P26</f>
        <v>0</v>
      </c>
      <c r="W33">
        <f>'model coef'!Q26</f>
        <v>0.4</v>
      </c>
      <c r="X33">
        <f>'model coef'!R26</f>
        <v>1.73</v>
      </c>
      <c r="Y33" s="8">
        <f>'model coef'!S26</f>
        <v>0</v>
      </c>
      <c r="Z33" s="5">
        <f>'model coef'!BF26</f>
        <v>-0.35</v>
      </c>
      <c r="AA33">
        <f>'model coef'!U26</f>
        <v>-9.8000000000000004E-2</v>
      </c>
      <c r="AB33" s="5">
        <f>'model coef'!V26</f>
        <v>-0.25</v>
      </c>
      <c r="AC33">
        <f>'model coef'!W26</f>
        <v>0</v>
      </c>
      <c r="AD33">
        <f>'model coef'!X26</f>
        <v>0</v>
      </c>
      <c r="AE33" s="5">
        <v>0.6</v>
      </c>
      <c r="AF33" s="5">
        <v>0.43</v>
      </c>
      <c r="AG33" s="5">
        <f t="shared" si="17"/>
        <v>0.73817342135842301</v>
      </c>
      <c r="AI33">
        <f>'model coef'!BA26</f>
        <v>0</v>
      </c>
      <c r="AJ33">
        <v>0</v>
      </c>
      <c r="AK33">
        <f t="shared" si="2"/>
        <v>5.3871403360803143E-4</v>
      </c>
      <c r="AL33" s="1">
        <f t="shared" si="3"/>
        <v>0.73817342135842301</v>
      </c>
      <c r="AM33" s="12">
        <f t="shared" si="4"/>
        <v>316.16074402192896</v>
      </c>
      <c r="AN33" s="1">
        <f>$O33+($P33+$AB33*$B$14+$Q33*($B$10-7.8))*LN($AM33)+IF($B$14=0,$T33,$T33+$AJ33)*$B$22+$X33*$B$14+IF($B$14=1,$R33*$AX33,0)</f>
        <v>-6.8955705835773689</v>
      </c>
      <c r="AO33" s="1">
        <f t="shared" si="18"/>
        <v>-0.76831999999999989</v>
      </c>
      <c r="AP33" s="1">
        <f t="shared" si="5"/>
        <v>0</v>
      </c>
      <c r="AQ33" s="1">
        <f t="shared" si="19"/>
        <v>0</v>
      </c>
      <c r="AR33" s="13"/>
      <c r="AS33" s="1">
        <f t="shared" si="20"/>
        <v>270</v>
      </c>
      <c r="AT33" s="1">
        <f t="shared" si="13"/>
        <v>0.13756490583836251</v>
      </c>
      <c r="AU33">
        <f>'model coef'!$C26</f>
        <v>7.8</v>
      </c>
      <c r="AV33">
        <v>7.2</v>
      </c>
      <c r="AW33">
        <f t="shared" si="6"/>
        <v>7.2</v>
      </c>
      <c r="AX33">
        <f t="shared" si="7"/>
        <v>-0.59999999999999964</v>
      </c>
      <c r="BA33" s="5">
        <f t="shared" si="8"/>
        <v>10</v>
      </c>
      <c r="BB33">
        <f t="shared" si="9"/>
        <v>-0.35</v>
      </c>
      <c r="BD33">
        <f>'model coef'!J26</f>
        <v>-0.45</v>
      </c>
      <c r="BE33">
        <f t="shared" si="10"/>
        <v>-0.45</v>
      </c>
      <c r="BF33">
        <v>-4.4000000000000003E-3</v>
      </c>
      <c r="BH33">
        <f t="shared" si="11"/>
        <v>-0.35</v>
      </c>
    </row>
    <row r="34" spans="4:60" x14ac:dyDescent="0.15">
      <c r="T34">
        <f>'model coef'!BM27</f>
        <v>0</v>
      </c>
      <c r="AX34">
        <f t="shared" si="7"/>
        <v>0</v>
      </c>
      <c r="BA34" s="5">
        <f t="shared" si="8"/>
        <v>0</v>
      </c>
      <c r="BB34">
        <f t="shared" si="9"/>
        <v>0</v>
      </c>
    </row>
    <row r="35" spans="4:60" x14ac:dyDescent="0.15">
      <c r="BA35" s="5">
        <f t="shared" si="8"/>
        <v>0</v>
      </c>
      <c r="BB35">
        <f t="shared" si="9"/>
        <v>0</v>
      </c>
    </row>
    <row r="36" spans="4:60" x14ac:dyDescent="0.15">
      <c r="BA36" s="5">
        <f t="shared" si="8"/>
        <v>0</v>
      </c>
      <c r="BB36">
        <f t="shared" si="9"/>
        <v>0</v>
      </c>
    </row>
    <row r="37" spans="4:60" x14ac:dyDescent="0.15">
      <c r="BA37" s="5">
        <f t="shared" si="8"/>
        <v>0</v>
      </c>
      <c r="BB37">
        <f t="shared" si="9"/>
        <v>0</v>
      </c>
    </row>
  </sheetData>
  <phoneticPr fontId="5"/>
  <pageMargins left="0.75" right="0.75" top="1" bottom="1" header="0.5" footer="0.5"/>
  <pageSetup orientation="portrait" horizontalDpi="4294967292" verticalDpi="4294967292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X47"/>
  <sheetViews>
    <sheetView topLeftCell="A2" workbookViewId="0">
      <selection activeCell="B14" sqref="B14"/>
    </sheetView>
  </sheetViews>
  <sheetFormatPr baseColWidth="10" defaultRowHeight="13" x14ac:dyDescent="0.15"/>
  <cols>
    <col min="1" max="1" width="30.1640625" style="1" customWidth="1"/>
    <col min="6" max="6" width="13.83203125" customWidth="1"/>
    <col min="7" max="7" width="13.5" bestFit="1" customWidth="1"/>
    <col min="8" max="8" width="2.5" style="7" customWidth="1"/>
    <col min="40" max="40" width="11.83203125" bestFit="1" customWidth="1"/>
    <col min="41" max="41" width="19.5" bestFit="1" customWidth="1"/>
    <col min="42" max="42" width="18.5" bestFit="1" customWidth="1"/>
    <col min="43" max="43" width="8.83203125" customWidth="1"/>
    <col min="44" max="44" width="18.5" bestFit="1" customWidth="1"/>
    <col min="45" max="46" width="22.5" style="1" customWidth="1"/>
    <col min="47" max="47" width="10.6640625" style="1" customWidth="1"/>
    <col min="48" max="48" width="18.6640625" style="1" bestFit="1" customWidth="1"/>
  </cols>
  <sheetData>
    <row r="1" spans="1:50" x14ac:dyDescent="0.15">
      <c r="A1" s="19" t="s">
        <v>0</v>
      </c>
    </row>
    <row r="2" spans="1:50" x14ac:dyDescent="0.15">
      <c r="A2" s="19" t="s">
        <v>69</v>
      </c>
    </row>
    <row r="3" spans="1:50" x14ac:dyDescent="0.15">
      <c r="A3" s="20">
        <v>40178</v>
      </c>
    </row>
    <row r="4" spans="1:50" x14ac:dyDescent="0.15">
      <c r="D4" s="15" t="s">
        <v>70</v>
      </c>
      <c r="E4" s="5">
        <f>EXP(-2.795+0.426*($B$10-7.1)+1.537*LN($E$10/0.05)+0.185*LN($E$23/0.045)-0.362*LN($B$16/412))</f>
        <v>2.3456270872402991E-2</v>
      </c>
    </row>
    <row r="5" spans="1:50" x14ac:dyDescent="0.15">
      <c r="A5" s="10"/>
      <c r="B5" s="15"/>
      <c r="C5" s="15"/>
      <c r="D5" s="15"/>
      <c r="E5" s="5"/>
    </row>
    <row r="6" spans="1:50" x14ac:dyDescent="0.15">
      <c r="E6" s="5">
        <f>(-2.795+0.426*($B$10-7.1)+1.537*LN($E$10/0.05)+0.185*LN($E$23/0.045)-0.362*LN($B$16/412))</f>
        <v>-3.7526174052373533</v>
      </c>
    </row>
    <row r="7" spans="1:50" x14ac:dyDescent="0.15">
      <c r="AP7" s="1" t="s">
        <v>49</v>
      </c>
    </row>
    <row r="8" spans="1:50" x14ac:dyDescent="0.15">
      <c r="F8" s="1" t="s">
        <v>51</v>
      </c>
      <c r="AP8" s="1" t="s">
        <v>38</v>
      </c>
      <c r="AS8" s="1" t="s">
        <v>65</v>
      </c>
      <c r="AT8" s="1" t="s">
        <v>68</v>
      </c>
    </row>
    <row r="9" spans="1:50" x14ac:dyDescent="0.15">
      <c r="A9" s="21" t="s">
        <v>1</v>
      </c>
      <c r="B9" s="21" t="s">
        <v>2</v>
      </c>
      <c r="D9" s="1" t="s">
        <v>10</v>
      </c>
      <c r="E9" s="1" t="s">
        <v>12</v>
      </c>
      <c r="F9" s="1" t="s">
        <v>52</v>
      </c>
      <c r="G9" s="1" t="s">
        <v>13</v>
      </c>
      <c r="I9" s="1" t="s">
        <v>10</v>
      </c>
      <c r="J9" t="s">
        <v>14</v>
      </c>
      <c r="K9" t="s">
        <v>15</v>
      </c>
      <c r="L9" t="s">
        <v>16</v>
      </c>
      <c r="M9" t="s">
        <v>17</v>
      </c>
      <c r="N9" t="s">
        <v>18</v>
      </c>
      <c r="O9" s="4" t="s">
        <v>19</v>
      </c>
      <c r="P9" t="s">
        <v>20</v>
      </c>
      <c r="Q9" t="s">
        <v>21</v>
      </c>
      <c r="R9" t="s">
        <v>22</v>
      </c>
      <c r="S9" t="s">
        <v>23</v>
      </c>
      <c r="T9" s="8" t="s">
        <v>24</v>
      </c>
      <c r="U9" s="4" t="s">
        <v>25</v>
      </c>
      <c r="V9" s="4" t="s">
        <v>26</v>
      </c>
      <c r="W9" t="s">
        <v>27</v>
      </c>
      <c r="X9" s="4" t="s">
        <v>28</v>
      </c>
      <c r="Y9" s="8" t="s">
        <v>29</v>
      </c>
      <c r="Z9" s="5" t="s">
        <v>30</v>
      </c>
      <c r="AA9" s="8" t="s">
        <v>31</v>
      </c>
      <c r="AB9" s="4" t="s">
        <v>32</v>
      </c>
      <c r="AC9" s="4" t="s">
        <v>33</v>
      </c>
      <c r="AD9" s="4" t="s">
        <v>34</v>
      </c>
      <c r="AE9" s="4" t="s">
        <v>35</v>
      </c>
      <c r="AF9" s="4" t="s">
        <v>36</v>
      </c>
      <c r="AG9" s="4" t="s">
        <v>37</v>
      </c>
      <c r="AH9" s="4" t="s">
        <v>38</v>
      </c>
      <c r="AI9" s="4" t="s">
        <v>39</v>
      </c>
      <c r="AJ9" s="11" t="s">
        <v>13</v>
      </c>
      <c r="AK9" s="11" t="s">
        <v>45</v>
      </c>
      <c r="AL9" s="11" t="s">
        <v>44</v>
      </c>
      <c r="AM9" s="11" t="s">
        <v>40</v>
      </c>
      <c r="AN9" s="11" t="s">
        <v>42</v>
      </c>
      <c r="AO9" s="11" t="s">
        <v>43</v>
      </c>
      <c r="AP9" s="11" t="s">
        <v>47</v>
      </c>
      <c r="AQ9" s="11" t="s">
        <v>48</v>
      </c>
      <c r="AR9" s="11" t="s">
        <v>47</v>
      </c>
      <c r="AS9" s="11" t="s">
        <v>61</v>
      </c>
      <c r="AT9" s="11" t="s">
        <v>61</v>
      </c>
      <c r="AU9" s="11" t="s">
        <v>63</v>
      </c>
      <c r="AV9" s="11" t="s">
        <v>60</v>
      </c>
    </row>
    <row r="10" spans="1:50" x14ac:dyDescent="0.15">
      <c r="A10" s="1" t="s">
        <v>3</v>
      </c>
      <c r="B10" s="1">
        <f>'CAS Adjust Terms'!B5</f>
        <v>7.2</v>
      </c>
      <c r="D10" s="14">
        <v>0.01</v>
      </c>
      <c r="E10" s="10">
        <f>AI10*EXP(B$17*IF(B$18=0,F10,G10))</f>
        <v>2.6654611642091534E-2</v>
      </c>
      <c r="F10" s="11">
        <v>0.6</v>
      </c>
      <c r="G10" s="9">
        <f>AJ10</f>
        <v>0.73817342135842301</v>
      </c>
      <c r="I10" s="6">
        <v>0</v>
      </c>
      <c r="J10">
        <v>865.1</v>
      </c>
      <c r="K10">
        <v>-1.1859999999999999</v>
      </c>
      <c r="L10">
        <v>1.18</v>
      </c>
      <c r="M10">
        <v>1.88</v>
      </c>
      <c r="N10">
        <v>10</v>
      </c>
      <c r="O10">
        <v>4.2202999999999999</v>
      </c>
      <c r="P10">
        <v>-1.35</v>
      </c>
      <c r="Q10">
        <v>0.1</v>
      </c>
      <c r="R10">
        <v>0.9</v>
      </c>
      <c r="S10">
        <v>0</v>
      </c>
      <c r="T10">
        <v>-1.1999999999999999E-3</v>
      </c>
      <c r="U10">
        <v>1.0988</v>
      </c>
      <c r="V10">
        <v>-1.42</v>
      </c>
      <c r="W10">
        <v>0.4</v>
      </c>
      <c r="X10">
        <v>3.12</v>
      </c>
      <c r="Y10">
        <v>1.2999999999999999E-2</v>
      </c>
      <c r="Z10">
        <v>0.98</v>
      </c>
      <c r="AA10">
        <v>-1.35E-2</v>
      </c>
      <c r="AB10">
        <v>-0.4</v>
      </c>
      <c r="AC10">
        <v>0.99690000000000001</v>
      </c>
      <c r="AD10">
        <v>-1</v>
      </c>
      <c r="AE10" s="5">
        <v>0.6</v>
      </c>
      <c r="AF10" s="5">
        <v>0.43</v>
      </c>
      <c r="AG10" s="5">
        <f>SQRT(AE10*AE10+AF10*AF10)</f>
        <v>0.73817342135842301</v>
      </c>
      <c r="AH10">
        <f>EXP(AL10+AM10+AN10+AO10+AP10)</f>
        <v>1.5841205214750836E-2</v>
      </c>
      <c r="AI10">
        <f>EXP(AL10+AM10+AN10+AO10+AR10)</f>
        <v>2.6654611642091534E-2</v>
      </c>
      <c r="AJ10" s="1">
        <f>SQRT(AE10*AE10+AF10*AF10)</f>
        <v>0.73817342135842301</v>
      </c>
      <c r="AK10" s="12">
        <f>B$22+N10*EXP((B$10-6)*W10)</f>
        <v>316.16074402192896</v>
      </c>
      <c r="AL10" s="1">
        <f>O10+R10*AU10+(P10+AB10*B$14+Q10*(B$10-7.8))*LN(AK10)+T10*B$22+X10*B$14</f>
        <v>-3.7085138898355794</v>
      </c>
      <c r="AM10" s="1">
        <f>IF(B$10&gt;AV10,S10*(B$10-AV10)+AA10*(10-B$10)^2,R10*(B$10-AV10)+AA10*(B$10-10)^2)</f>
        <v>-0.37583999999999984</v>
      </c>
      <c r="AN10" s="1">
        <f>IF(B$14=1,Y10*(B$13-60),0)</f>
        <v>0</v>
      </c>
      <c r="AO10" s="1">
        <f>IF(B$15=1,IF(B$14=1,U10+V10*LN(MAX(B$12,85)/40),AC10+AD10*LN(MAX(B$11,100)/40)),0)</f>
        <v>0</v>
      </c>
      <c r="AP10" s="1">
        <f>Z10*LN(1000/J10)+K10*L10*LN(1000/J10)</f>
        <v>-6.0786918864905698E-2</v>
      </c>
      <c r="AQ10" s="1">
        <f>IF(B$16&gt;1000,1000,B$16)</f>
        <v>270</v>
      </c>
      <c r="AR10" s="1">
        <f>IF(B$16&gt;=J10,Z10*LN(AQ10/J10)+K10*L10*LN(AQ10/J10),Z10*LN(AQ10/J10)-K10*LN(AH10+M10)+K10*LN(AH10+M10*(AQ10/J10)^L10))</f>
        <v>0.45956079122617299</v>
      </c>
      <c r="AS10" s="11">
        <v>0.2</v>
      </c>
      <c r="AT10" s="11">
        <v>-0.3</v>
      </c>
      <c r="AU10" s="11">
        <f>IF($B$14=0,AS10+B$20,AT10+B$20)</f>
        <v>-0.3</v>
      </c>
      <c r="AV10" s="11">
        <f>AU10+B$19</f>
        <v>7.5</v>
      </c>
      <c r="AX10">
        <f>Z10+K10*L10</f>
        <v>-0.41947999999999985</v>
      </c>
    </row>
    <row r="11" spans="1:50" x14ac:dyDescent="0.15">
      <c r="A11" s="1" t="s">
        <v>4</v>
      </c>
      <c r="B11" s="1">
        <f>'CAS Adjust Terms'!B7</f>
        <v>300</v>
      </c>
      <c r="D11" s="14">
        <v>0.02</v>
      </c>
      <c r="E11" s="10">
        <f>E10</f>
        <v>2.6654611642091534E-2</v>
      </c>
      <c r="F11" s="11">
        <v>0.6</v>
      </c>
      <c r="G11" s="9">
        <f>G10</f>
        <v>0.73817342135842301</v>
      </c>
      <c r="I11" s="6"/>
      <c r="AE11" s="5"/>
      <c r="AF11" s="5"/>
      <c r="AG11" s="5"/>
      <c r="AJ11" s="1"/>
      <c r="AK11" s="12"/>
      <c r="AL11" s="1"/>
      <c r="AM11" s="1"/>
      <c r="AN11" s="1"/>
      <c r="AO11" s="1"/>
      <c r="AP11" s="1"/>
      <c r="AQ11" s="1"/>
      <c r="AR11" s="1"/>
      <c r="AS11" s="11"/>
      <c r="AT11" s="11"/>
      <c r="AU11" s="11"/>
      <c r="AV11" s="11"/>
      <c r="AX11">
        <f t="shared" ref="AX11:AX32" si="0">Z11+K11*L11</f>
        <v>0</v>
      </c>
    </row>
    <row r="12" spans="1:50" x14ac:dyDescent="0.15">
      <c r="A12" s="1" t="s">
        <v>5</v>
      </c>
      <c r="B12" s="1">
        <f>summary!B11</f>
        <v>300</v>
      </c>
      <c r="D12" s="14">
        <v>0.05</v>
      </c>
      <c r="E12" s="10">
        <f t="shared" ref="E12:E32" si="1">AI12*EXP(B$17*IF(B$18=0,F12,G12))</f>
        <v>3.1968799988034362E-2</v>
      </c>
      <c r="F12" s="11">
        <v>0.6</v>
      </c>
      <c r="G12" s="9">
        <f t="shared" ref="G12:G32" si="2">AJ12</f>
        <v>0.73817342135842301</v>
      </c>
      <c r="I12" s="6">
        <v>0.05</v>
      </c>
      <c r="J12">
        <v>1053.5</v>
      </c>
      <c r="K12">
        <v>-1.3460000000000001</v>
      </c>
      <c r="L12">
        <v>1.18</v>
      </c>
      <c r="M12">
        <v>1.88</v>
      </c>
      <c r="N12">
        <v>10</v>
      </c>
      <c r="O12">
        <v>4.5370999999999997</v>
      </c>
      <c r="P12">
        <v>-1.4</v>
      </c>
      <c r="Q12">
        <v>0.1</v>
      </c>
      <c r="R12">
        <v>0.9</v>
      </c>
      <c r="S12">
        <v>0</v>
      </c>
      <c r="T12">
        <v>-1.1999999999999999E-3</v>
      </c>
      <c r="U12">
        <v>1.2536</v>
      </c>
      <c r="V12">
        <v>-1.65</v>
      </c>
      <c r="W12">
        <v>0.4</v>
      </c>
      <c r="X12">
        <v>3.37</v>
      </c>
      <c r="Y12">
        <v>1.2999999999999999E-2</v>
      </c>
      <c r="Z12">
        <v>1.288</v>
      </c>
      <c r="AA12">
        <v>-1.38E-2</v>
      </c>
      <c r="AB12">
        <v>-0.4</v>
      </c>
      <c r="AC12">
        <v>1.103</v>
      </c>
      <c r="AD12">
        <v>-1.18</v>
      </c>
      <c r="AE12" s="5">
        <v>0.6</v>
      </c>
      <c r="AF12" s="5">
        <v>0.43</v>
      </c>
      <c r="AG12" s="5">
        <f t="shared" ref="AG12:AG32" si="3">SQRT(AE12*AE12+AF12*AF12)</f>
        <v>0.73817342135842301</v>
      </c>
      <c r="AI12">
        <f>EXP(AL12+AM12+AN12+AO12+AR12)</f>
        <v>3.1968799988034362E-2</v>
      </c>
      <c r="AJ12" s="1">
        <f t="shared" ref="AJ12:AJ32" si="4">SQRT(AE12*AE12+AF12*AF12)</f>
        <v>0.73817342135842301</v>
      </c>
      <c r="AK12" s="12">
        <f t="shared" ref="AK12:AK32" si="5">B$22+N12*EXP((B$10-6)*W12)</f>
        <v>316.16074402192896</v>
      </c>
      <c r="AL12" s="1">
        <f>O12+R12*AU12+(P12+AB12*B$14+Q12*(B$10-7.8))*LN(AK12)+T12*B$22+X12*B$14</f>
        <v>-3.4295264282288276</v>
      </c>
      <c r="AM12" s="1">
        <f>IF(B$10&gt;AV12,S12*(B$10-AV12)+AA12*(10-B$10)^2,R12*(B$10-AV12)+AA12*(B$10-10)^2)</f>
        <v>-0.37819199999999986</v>
      </c>
      <c r="AN12" s="1">
        <f t="shared" ref="AN12:AN32" si="6">IF(B$14=1,Y12*(B$13-60),0)</f>
        <v>0</v>
      </c>
      <c r="AO12" s="1">
        <f t="shared" ref="AO12:AO32" si="7">IF(B$15=1,IF(B$14=1,U12+V12*LN(MAX(B$12,85)/40),AC12+AD12*LN(MAX(B$11,100)/40)),0)</f>
        <v>0</v>
      </c>
      <c r="AP12" s="7"/>
      <c r="AQ12" s="1">
        <f>IF(B$16&gt;1000,1000,B$16)</f>
        <v>270</v>
      </c>
      <c r="AR12" s="1">
        <f t="shared" ref="AR12:AR32" si="8">IF(B$16&gt;=J12,Z12*LN(AQ12/J12)+K12*L12*LN(AQ12/J12),Z12*LN(AQ12/J12)-K12*LN(AH$10+M12)+K12*LN(AH$10+M12*(AQ12/J12)^L12))</f>
        <v>0.36472357605044659</v>
      </c>
      <c r="AS12" s="11">
        <v>0.2</v>
      </c>
      <c r="AT12" s="11">
        <v>-0.3</v>
      </c>
      <c r="AU12" s="11">
        <f>IF($B$14=0,AS12+B$20,AT12+B$20)</f>
        <v>-0.3</v>
      </c>
      <c r="AV12" s="11">
        <f>AU12+B$19</f>
        <v>7.5</v>
      </c>
      <c r="AX12">
        <f t="shared" si="0"/>
        <v>-0.30027999999999988</v>
      </c>
    </row>
    <row r="13" spans="1:50" x14ac:dyDescent="0.15">
      <c r="A13" s="1" t="s">
        <v>6</v>
      </c>
      <c r="B13" s="1">
        <f>summary!B12</f>
        <v>60</v>
      </c>
      <c r="D13" s="14">
        <v>7.4999999999999997E-2</v>
      </c>
      <c r="E13" s="10">
        <f t="shared" si="1"/>
        <v>3.8348502586813792E-2</v>
      </c>
      <c r="F13" s="11">
        <v>0.6</v>
      </c>
      <c r="G13" s="9">
        <f t="shared" si="2"/>
        <v>0.73817342135842301</v>
      </c>
      <c r="I13" s="6">
        <v>7.4999999999999997E-2</v>
      </c>
      <c r="J13">
        <v>1085.7</v>
      </c>
      <c r="K13">
        <v>-1.4710000000000001</v>
      </c>
      <c r="L13">
        <v>1.18</v>
      </c>
      <c r="M13">
        <v>1.88</v>
      </c>
      <c r="N13">
        <v>10</v>
      </c>
      <c r="O13">
        <v>5.0732999999999997</v>
      </c>
      <c r="P13">
        <v>-1.45</v>
      </c>
      <c r="Q13">
        <v>0.1</v>
      </c>
      <c r="R13">
        <v>0.9</v>
      </c>
      <c r="S13">
        <v>0</v>
      </c>
      <c r="T13">
        <v>-1.1999999999999999E-3</v>
      </c>
      <c r="U13">
        <v>1.4175</v>
      </c>
      <c r="V13">
        <v>-1.8</v>
      </c>
      <c r="W13">
        <v>0.4</v>
      </c>
      <c r="X13">
        <v>3.37</v>
      </c>
      <c r="Y13">
        <v>1.2999999999999999E-2</v>
      </c>
      <c r="Z13">
        <v>1.4830000000000001</v>
      </c>
      <c r="AA13">
        <v>-1.4200000000000001E-2</v>
      </c>
      <c r="AB13">
        <v>-0.4</v>
      </c>
      <c r="AC13">
        <v>1.2732000000000001</v>
      </c>
      <c r="AD13">
        <v>-1.36</v>
      </c>
      <c r="AE13" s="5">
        <v>0.6</v>
      </c>
      <c r="AF13" s="5">
        <v>0.43</v>
      </c>
      <c r="AG13" s="5">
        <f t="shared" si="3"/>
        <v>0.73817342135842301</v>
      </c>
      <c r="AI13">
        <f t="shared" ref="AI13:AI32" si="9">EXP(AL13+AM13+AN13+AO13+AR13)</f>
        <v>3.8348502586813792E-2</v>
      </c>
      <c r="AJ13" s="1">
        <f t="shared" si="4"/>
        <v>0.73817342135842301</v>
      </c>
      <c r="AK13" s="12">
        <f t="shared" si="5"/>
        <v>316.16074402192896</v>
      </c>
      <c r="AL13" s="1">
        <f t="shared" ref="AL13:AL32" si="10">O13+R13*AU13+(P13+AB13*B$14+Q13*(B$10-7.8))*LN(AK13)+T13*B$22+X13*B$14</f>
        <v>-3.1811389666220755</v>
      </c>
      <c r="AM13" s="1">
        <f t="shared" ref="AM13:AM32" si="11">IF(B$10&gt;AV13,S13*(B$10-AV13)+AA13*(10-B$10)^2,R13*(B$10-AV13)+AA13*(B$10-10)^2)</f>
        <v>-0.38132799999999983</v>
      </c>
      <c r="AN13" s="1">
        <f t="shared" si="6"/>
        <v>0</v>
      </c>
      <c r="AO13" s="1">
        <f t="shared" si="7"/>
        <v>0</v>
      </c>
      <c r="AP13" s="7"/>
      <c r="AQ13" s="1">
        <f t="shared" ref="AQ13:AQ32" si="12">IF(B$16&gt;1000,1000,B$16)</f>
        <v>270</v>
      </c>
      <c r="AR13" s="1">
        <f t="shared" si="8"/>
        <v>0.3014271687147172</v>
      </c>
      <c r="AS13" s="11">
        <v>0.2</v>
      </c>
      <c r="AT13" s="11">
        <v>-0.3</v>
      </c>
      <c r="AU13" s="11">
        <f t="shared" ref="AU13:AU31" si="13">IF($B$14=0,AS13+B$20,AT13+B$20)</f>
        <v>-0.3</v>
      </c>
      <c r="AV13" s="11">
        <f t="shared" ref="AV13:AV32" si="14">AU13+B$19</f>
        <v>7.5</v>
      </c>
      <c r="AX13">
        <f t="shared" si="0"/>
        <v>-0.25278</v>
      </c>
    </row>
    <row r="14" spans="1:50" x14ac:dyDescent="0.15">
      <c r="A14" s="1" t="s">
        <v>7</v>
      </c>
      <c r="B14" s="1">
        <f>'CAS Adjust Terms'!B4</f>
        <v>1</v>
      </c>
      <c r="D14" s="14">
        <v>0.1</v>
      </c>
      <c r="E14" s="10">
        <f t="shared" si="1"/>
        <v>4.81356188722512E-2</v>
      </c>
      <c r="F14" s="11">
        <v>0.6</v>
      </c>
      <c r="G14" s="9">
        <f t="shared" si="2"/>
        <v>0.73817342135842301</v>
      </c>
      <c r="I14" s="6">
        <v>0.1</v>
      </c>
      <c r="J14">
        <v>1032.5</v>
      </c>
      <c r="K14">
        <v>-1.6240000000000001</v>
      </c>
      <c r="L14">
        <v>1.18</v>
      </c>
      <c r="M14">
        <v>1.88</v>
      </c>
      <c r="N14">
        <v>10</v>
      </c>
      <c r="O14">
        <v>5.2892000000000001</v>
      </c>
      <c r="P14">
        <v>-1.45</v>
      </c>
      <c r="Q14">
        <v>0.1</v>
      </c>
      <c r="R14">
        <v>0.9</v>
      </c>
      <c r="S14">
        <v>0</v>
      </c>
      <c r="T14">
        <v>-1.1999999999999999E-3</v>
      </c>
      <c r="U14">
        <v>1.3996999999999999</v>
      </c>
      <c r="V14">
        <v>-1.8</v>
      </c>
      <c r="W14">
        <v>0.4</v>
      </c>
      <c r="X14">
        <v>3.33</v>
      </c>
      <c r="Y14">
        <v>1.2999999999999999E-2</v>
      </c>
      <c r="Z14">
        <v>1.613</v>
      </c>
      <c r="AA14">
        <v>-1.4500000000000001E-2</v>
      </c>
      <c r="AB14">
        <v>-0.4</v>
      </c>
      <c r="AC14">
        <v>1.3042</v>
      </c>
      <c r="AD14">
        <v>-1.36</v>
      </c>
      <c r="AE14" s="5">
        <v>0.6</v>
      </c>
      <c r="AF14" s="5">
        <v>0.43</v>
      </c>
      <c r="AG14" s="5">
        <f t="shared" si="3"/>
        <v>0.73817342135842301</v>
      </c>
      <c r="AI14">
        <f t="shared" si="9"/>
        <v>4.81356188722512E-2</v>
      </c>
      <c r="AJ14" s="1">
        <f t="shared" si="4"/>
        <v>0.73817342135842301</v>
      </c>
      <c r="AK14" s="12">
        <f t="shared" si="5"/>
        <v>316.16074402192896</v>
      </c>
      <c r="AL14" s="1">
        <f t="shared" si="10"/>
        <v>-3.005238966622076</v>
      </c>
      <c r="AM14" s="1">
        <f t="shared" si="11"/>
        <v>-0.38367999999999985</v>
      </c>
      <c r="AN14" s="1">
        <f t="shared" si="6"/>
        <v>0</v>
      </c>
      <c r="AO14" s="1">
        <f t="shared" si="7"/>
        <v>0</v>
      </c>
      <c r="AP14" s="7"/>
      <c r="AQ14" s="1">
        <f t="shared" si="12"/>
        <v>270</v>
      </c>
      <c r="AR14" s="1">
        <f t="shared" si="8"/>
        <v>0.35518610779877346</v>
      </c>
      <c r="AS14" s="11">
        <v>0.2</v>
      </c>
      <c r="AT14" s="11">
        <v>-0.3</v>
      </c>
      <c r="AU14" s="11">
        <f t="shared" si="13"/>
        <v>-0.3</v>
      </c>
      <c r="AV14" s="11">
        <f t="shared" si="14"/>
        <v>7.5</v>
      </c>
      <c r="AX14">
        <f t="shared" si="0"/>
        <v>-0.30332000000000003</v>
      </c>
    </row>
    <row r="15" spans="1:50" x14ac:dyDescent="0.15">
      <c r="A15" s="1" t="s">
        <v>8</v>
      </c>
      <c r="B15" s="1">
        <v>0</v>
      </c>
      <c r="D15" s="14">
        <v>0.15</v>
      </c>
      <c r="E15" s="10">
        <f t="shared" si="1"/>
        <v>5.2406921318560493E-2</v>
      </c>
      <c r="F15" s="11">
        <v>0.6</v>
      </c>
      <c r="G15" s="9">
        <f t="shared" si="2"/>
        <v>0.73817342135842301</v>
      </c>
      <c r="I15" s="6">
        <v>0.15</v>
      </c>
      <c r="J15">
        <v>877.6</v>
      </c>
      <c r="K15">
        <v>-1.931</v>
      </c>
      <c r="L15">
        <v>1.18</v>
      </c>
      <c r="M15">
        <v>1.88</v>
      </c>
      <c r="N15">
        <v>10</v>
      </c>
      <c r="O15">
        <v>5.4562999999999997</v>
      </c>
      <c r="P15">
        <v>-1.45</v>
      </c>
      <c r="Q15">
        <v>0.1</v>
      </c>
      <c r="R15">
        <v>0.9</v>
      </c>
      <c r="S15">
        <v>0</v>
      </c>
      <c r="T15">
        <v>-1.4E-3</v>
      </c>
      <c r="U15">
        <v>1.3582000000000001</v>
      </c>
      <c r="V15">
        <v>-1.69</v>
      </c>
      <c r="W15">
        <v>0.4</v>
      </c>
      <c r="X15">
        <v>3.25</v>
      </c>
      <c r="Y15">
        <v>1.2999999999999999E-2</v>
      </c>
      <c r="Z15">
        <v>1.8819999999999999</v>
      </c>
      <c r="AA15">
        <v>-1.5299999999999999E-2</v>
      </c>
      <c r="AB15">
        <v>-0.4</v>
      </c>
      <c r="AC15">
        <v>1.26</v>
      </c>
      <c r="AD15">
        <v>-1.3</v>
      </c>
      <c r="AE15" s="5">
        <v>0.6</v>
      </c>
      <c r="AF15" s="5">
        <v>0.43</v>
      </c>
      <c r="AG15" s="5">
        <f t="shared" si="3"/>
        <v>0.73817342135842301</v>
      </c>
      <c r="AI15">
        <f t="shared" si="9"/>
        <v>5.2406921318560493E-2</v>
      </c>
      <c r="AJ15" s="1">
        <f t="shared" si="4"/>
        <v>0.73817342135842301</v>
      </c>
      <c r="AK15" s="12">
        <f t="shared" si="5"/>
        <v>316.16074402192896</v>
      </c>
      <c r="AL15" s="1">
        <f t="shared" si="10"/>
        <v>-2.9781389666220761</v>
      </c>
      <c r="AM15" s="1">
        <f t="shared" si="11"/>
        <v>-0.38995199999999985</v>
      </c>
      <c r="AN15" s="1">
        <f t="shared" si="6"/>
        <v>0</v>
      </c>
      <c r="AO15" s="1">
        <f t="shared" si="7"/>
        <v>0</v>
      </c>
      <c r="AP15" s="7"/>
      <c r="AQ15" s="1">
        <f t="shared" si="12"/>
        <v>270</v>
      </c>
      <c r="AR15" s="1">
        <f t="shared" si="8"/>
        <v>0.41937435647638788</v>
      </c>
      <c r="AS15" s="11">
        <v>0.2</v>
      </c>
      <c r="AT15" s="11">
        <v>-0.3</v>
      </c>
      <c r="AU15" s="11">
        <f t="shared" si="13"/>
        <v>-0.3</v>
      </c>
      <c r="AV15" s="11">
        <f t="shared" si="14"/>
        <v>7.5</v>
      </c>
      <c r="AX15">
        <f t="shared" si="0"/>
        <v>-0.39657999999999993</v>
      </c>
    </row>
    <row r="16" spans="1:50" x14ac:dyDescent="0.15">
      <c r="A16" s="1" t="s">
        <v>9</v>
      </c>
      <c r="B16" s="1">
        <f>'CAS Adjust Terms'!B9</f>
        <v>270</v>
      </c>
      <c r="D16" s="14">
        <v>0.2</v>
      </c>
      <c r="E16" s="10">
        <f t="shared" si="1"/>
        <v>5.7612340865625153E-2</v>
      </c>
      <c r="F16" s="11">
        <v>0.6</v>
      </c>
      <c r="G16" s="9">
        <f t="shared" si="2"/>
        <v>0.73817342135842301</v>
      </c>
      <c r="I16" s="6">
        <v>0.2</v>
      </c>
      <c r="J16">
        <v>748.2</v>
      </c>
      <c r="K16">
        <v>-2.1880000000000002</v>
      </c>
      <c r="L16">
        <v>1.18</v>
      </c>
      <c r="M16">
        <v>1.88</v>
      </c>
      <c r="N16">
        <v>10</v>
      </c>
      <c r="O16">
        <v>5.2683999999999997</v>
      </c>
      <c r="P16">
        <v>-1.4</v>
      </c>
      <c r="Q16">
        <v>0.1</v>
      </c>
      <c r="R16">
        <v>0.9</v>
      </c>
      <c r="S16">
        <v>0</v>
      </c>
      <c r="T16">
        <v>-1.8E-3</v>
      </c>
      <c r="U16">
        <v>1.1648000000000001</v>
      </c>
      <c r="V16">
        <v>-1.49</v>
      </c>
      <c r="W16">
        <v>0.4</v>
      </c>
      <c r="X16">
        <v>3.03</v>
      </c>
      <c r="Y16">
        <v>1.29E-2</v>
      </c>
      <c r="Z16">
        <v>2.0760000000000001</v>
      </c>
      <c r="AA16">
        <v>-1.6199999999999999E-2</v>
      </c>
      <c r="AB16">
        <v>-0.35</v>
      </c>
      <c r="AC16">
        <v>1.2230000000000001</v>
      </c>
      <c r="AD16">
        <v>-1.25</v>
      </c>
      <c r="AE16" s="5">
        <v>0.6</v>
      </c>
      <c r="AF16" s="5">
        <v>0.43</v>
      </c>
      <c r="AG16" s="5">
        <f t="shared" si="3"/>
        <v>0.73817342135842301</v>
      </c>
      <c r="AI16">
        <f t="shared" si="9"/>
        <v>5.7612340865625153E-2</v>
      </c>
      <c r="AJ16" s="1">
        <f t="shared" si="4"/>
        <v>0.73817342135842301</v>
      </c>
      <c r="AK16" s="12">
        <f t="shared" si="5"/>
        <v>316.16074402192896</v>
      </c>
      <c r="AL16" s="1">
        <f t="shared" si="10"/>
        <v>-2.9304138898355796</v>
      </c>
      <c r="AM16" s="1">
        <f t="shared" si="11"/>
        <v>-0.39700799999999981</v>
      </c>
      <c r="AN16" s="1">
        <f t="shared" si="6"/>
        <v>0</v>
      </c>
      <c r="AO16" s="1">
        <f t="shared" si="7"/>
        <v>0</v>
      </c>
      <c r="AP16" s="7"/>
      <c r="AQ16" s="1">
        <f t="shared" si="12"/>
        <v>270</v>
      </c>
      <c r="AR16" s="1">
        <f t="shared" si="8"/>
        <v>0.47340340674611592</v>
      </c>
      <c r="AS16" s="11">
        <v>0.2</v>
      </c>
      <c r="AT16" s="11">
        <v>-0.3</v>
      </c>
      <c r="AU16" s="11">
        <f t="shared" si="13"/>
        <v>-0.3</v>
      </c>
      <c r="AV16" s="11">
        <f t="shared" si="14"/>
        <v>7.5</v>
      </c>
      <c r="AX16">
        <f t="shared" si="0"/>
        <v>-0.50584000000000007</v>
      </c>
    </row>
    <row r="17" spans="1:50" x14ac:dyDescent="0.15">
      <c r="A17" s="1" t="s">
        <v>11</v>
      </c>
      <c r="B17" s="1">
        <v>0</v>
      </c>
      <c r="D17" s="14">
        <v>0.25</v>
      </c>
      <c r="E17" s="10">
        <f t="shared" si="1"/>
        <v>5.2576522232745448E-2</v>
      </c>
      <c r="F17" s="11">
        <v>0.6</v>
      </c>
      <c r="G17" s="9">
        <f t="shared" si="2"/>
        <v>0.73817342135842301</v>
      </c>
      <c r="I17" s="6">
        <v>0.25</v>
      </c>
      <c r="J17">
        <v>654.29999999999995</v>
      </c>
      <c r="K17">
        <v>-2.3809999999999998</v>
      </c>
      <c r="L17">
        <v>1.18</v>
      </c>
      <c r="M17">
        <v>1.88</v>
      </c>
      <c r="N17">
        <v>10</v>
      </c>
      <c r="O17">
        <v>5.0594000000000001</v>
      </c>
      <c r="P17">
        <v>-1.35</v>
      </c>
      <c r="Q17">
        <v>0.1</v>
      </c>
      <c r="R17">
        <v>0.9</v>
      </c>
      <c r="S17">
        <v>0</v>
      </c>
      <c r="T17">
        <v>-2.3E-3</v>
      </c>
      <c r="U17">
        <v>0.99399999999999999</v>
      </c>
      <c r="V17">
        <v>-1.3</v>
      </c>
      <c r="W17">
        <v>0.4</v>
      </c>
      <c r="X17">
        <v>2.8</v>
      </c>
      <c r="Y17">
        <v>1.29E-2</v>
      </c>
      <c r="Z17">
        <v>2.2480000000000002</v>
      </c>
      <c r="AA17">
        <v>-1.72E-2</v>
      </c>
      <c r="AB17">
        <v>-0.31</v>
      </c>
      <c r="AC17">
        <v>1.1599999999999999</v>
      </c>
      <c r="AD17">
        <v>-1.17</v>
      </c>
      <c r="AE17" s="5">
        <v>0.6</v>
      </c>
      <c r="AF17" s="5">
        <v>0.43</v>
      </c>
      <c r="AG17" s="5">
        <f t="shared" si="3"/>
        <v>0.73817342135842301</v>
      </c>
      <c r="AI17">
        <f t="shared" si="9"/>
        <v>5.2576522232745448E-2</v>
      </c>
      <c r="AJ17" s="1">
        <f t="shared" si="4"/>
        <v>0.73817342135842301</v>
      </c>
      <c r="AK17" s="12">
        <f t="shared" si="5"/>
        <v>316.16074402192896</v>
      </c>
      <c r="AL17" s="1">
        <f t="shared" si="10"/>
        <v>-3.0013513207277329</v>
      </c>
      <c r="AM17" s="1">
        <f t="shared" si="11"/>
        <v>-0.40484799999999987</v>
      </c>
      <c r="AN17" s="1">
        <f t="shared" si="6"/>
        <v>0</v>
      </c>
      <c r="AO17" s="1">
        <f t="shared" si="7"/>
        <v>0</v>
      </c>
      <c r="AP17" s="7"/>
      <c r="AQ17" s="1">
        <f t="shared" si="12"/>
        <v>270</v>
      </c>
      <c r="AR17" s="1">
        <f t="shared" si="8"/>
        <v>0.46071371646244041</v>
      </c>
      <c r="AS17" s="11">
        <v>0.2</v>
      </c>
      <c r="AT17" s="11">
        <v>-0.3</v>
      </c>
      <c r="AU17" s="11">
        <f t="shared" si="13"/>
        <v>-0.3</v>
      </c>
      <c r="AV17" s="11">
        <f t="shared" si="14"/>
        <v>7.5</v>
      </c>
      <c r="AX17">
        <f t="shared" si="0"/>
        <v>-0.5615799999999993</v>
      </c>
    </row>
    <row r="18" spans="1:50" x14ac:dyDescent="0.15">
      <c r="A18" s="1" t="s">
        <v>53</v>
      </c>
      <c r="B18" s="1">
        <v>0</v>
      </c>
      <c r="D18" s="14">
        <v>0.3</v>
      </c>
      <c r="E18" s="10">
        <f t="shared" si="1"/>
        <v>5.0723733054269797E-2</v>
      </c>
      <c r="F18" s="11">
        <v>0.6</v>
      </c>
      <c r="G18" s="9">
        <f t="shared" si="2"/>
        <v>0.73817342135842301</v>
      </c>
      <c r="I18" s="6">
        <v>0.3</v>
      </c>
      <c r="J18">
        <v>587.1</v>
      </c>
      <c r="K18">
        <v>-2.5179999999999998</v>
      </c>
      <c r="L18">
        <v>1.18</v>
      </c>
      <c r="M18">
        <v>1.88</v>
      </c>
      <c r="N18">
        <v>10</v>
      </c>
      <c r="O18">
        <v>4.7945000000000002</v>
      </c>
      <c r="P18">
        <v>-1.28</v>
      </c>
      <c r="Q18">
        <v>0.1</v>
      </c>
      <c r="R18">
        <v>0.9</v>
      </c>
      <c r="S18">
        <v>0</v>
      </c>
      <c r="T18">
        <v>-2.7000000000000001E-3</v>
      </c>
      <c r="U18">
        <v>0.8821</v>
      </c>
      <c r="V18">
        <v>-1.18</v>
      </c>
      <c r="W18">
        <v>0.4</v>
      </c>
      <c r="X18">
        <v>2.59</v>
      </c>
      <c r="Y18">
        <v>1.2800000000000001E-2</v>
      </c>
      <c r="Z18">
        <v>2.3479999999999999</v>
      </c>
      <c r="AA18">
        <v>-1.83E-2</v>
      </c>
      <c r="AB18">
        <v>-0.28000000000000003</v>
      </c>
      <c r="AC18">
        <v>1.05</v>
      </c>
      <c r="AD18">
        <v>-1.06</v>
      </c>
      <c r="AE18" s="5">
        <v>0.6</v>
      </c>
      <c r="AF18" s="5">
        <v>0.43</v>
      </c>
      <c r="AG18" s="5">
        <f t="shared" si="3"/>
        <v>0.73817342135842301</v>
      </c>
      <c r="AI18">
        <f t="shared" si="9"/>
        <v>5.0723733054269797E-2</v>
      </c>
      <c r="AJ18" s="1">
        <f t="shared" si="4"/>
        <v>0.73817342135842301</v>
      </c>
      <c r="AK18" s="12">
        <f t="shared" si="5"/>
        <v>316.16074402192896</v>
      </c>
      <c r="AL18" s="1">
        <f t="shared" si="10"/>
        <v>-3.020626243941237</v>
      </c>
      <c r="AM18" s="1">
        <f t="shared" si="11"/>
        <v>-0.41347199999999984</v>
      </c>
      <c r="AN18" s="1">
        <f t="shared" si="6"/>
        <v>0</v>
      </c>
      <c r="AO18" s="1">
        <f t="shared" si="7"/>
        <v>0</v>
      </c>
      <c r="AP18" s="7"/>
      <c r="AQ18" s="1">
        <f t="shared" si="12"/>
        <v>270</v>
      </c>
      <c r="AR18" s="1">
        <f t="shared" si="8"/>
        <v>0.45273687360734938</v>
      </c>
      <c r="AS18" s="11">
        <v>0.2</v>
      </c>
      <c r="AT18" s="11">
        <v>-0.3</v>
      </c>
      <c r="AU18" s="11">
        <f t="shared" si="13"/>
        <v>-0.3</v>
      </c>
      <c r="AV18" s="11">
        <f t="shared" si="14"/>
        <v>7.5</v>
      </c>
      <c r="AX18">
        <f t="shared" si="0"/>
        <v>-0.62323999999999957</v>
      </c>
    </row>
    <row r="19" spans="1:50" x14ac:dyDescent="0.15">
      <c r="A19" s="1" t="s">
        <v>41</v>
      </c>
      <c r="B19" s="1">
        <v>7.8</v>
      </c>
      <c r="D19" s="14">
        <v>0.4</v>
      </c>
      <c r="E19" s="10">
        <f t="shared" si="1"/>
        <v>4.3626626267453582E-2</v>
      </c>
      <c r="F19" s="11">
        <v>0.6</v>
      </c>
      <c r="G19" s="9">
        <f t="shared" si="2"/>
        <v>0.73817342135842301</v>
      </c>
      <c r="I19" s="6">
        <v>0.4</v>
      </c>
      <c r="J19">
        <v>503</v>
      </c>
      <c r="K19">
        <v>-2.657</v>
      </c>
      <c r="L19">
        <v>1.18</v>
      </c>
      <c r="M19">
        <v>1.88</v>
      </c>
      <c r="N19">
        <v>10</v>
      </c>
      <c r="O19">
        <v>4.4644000000000004</v>
      </c>
      <c r="P19">
        <v>-1.18</v>
      </c>
      <c r="Q19">
        <v>0.1</v>
      </c>
      <c r="R19">
        <v>0.9</v>
      </c>
      <c r="S19">
        <v>0</v>
      </c>
      <c r="T19">
        <v>-3.5000000000000001E-3</v>
      </c>
      <c r="U19">
        <v>0.7046</v>
      </c>
      <c r="V19">
        <v>-0.98</v>
      </c>
      <c r="W19">
        <v>0.4</v>
      </c>
      <c r="X19">
        <v>2.2000000000000002</v>
      </c>
      <c r="Y19">
        <v>1.2699999999999999E-2</v>
      </c>
      <c r="Z19">
        <v>2.427</v>
      </c>
      <c r="AA19">
        <v>-2.06E-2</v>
      </c>
      <c r="AB19">
        <v>-0.23</v>
      </c>
      <c r="AC19">
        <v>0.8</v>
      </c>
      <c r="AD19">
        <v>-0.78</v>
      </c>
      <c r="AE19" s="5">
        <v>0.6</v>
      </c>
      <c r="AF19" s="5">
        <v>0.43</v>
      </c>
      <c r="AG19" s="5">
        <f t="shared" si="3"/>
        <v>0.73817342135842301</v>
      </c>
      <c r="AI19">
        <f t="shared" si="9"/>
        <v>4.3626626267453582E-2</v>
      </c>
      <c r="AJ19" s="1">
        <f t="shared" si="4"/>
        <v>0.73817342135842301</v>
      </c>
      <c r="AK19" s="12">
        <f t="shared" si="5"/>
        <v>316.16074402192896</v>
      </c>
      <c r="AL19" s="1">
        <f t="shared" si="10"/>
        <v>-3.1172886287614912</v>
      </c>
      <c r="AM19" s="1">
        <f t="shared" si="11"/>
        <v>-0.43150399999999983</v>
      </c>
      <c r="AN19" s="1">
        <f t="shared" si="6"/>
        <v>0</v>
      </c>
      <c r="AO19" s="1">
        <f t="shared" si="7"/>
        <v>0</v>
      </c>
      <c r="AP19" s="7"/>
      <c r="AQ19" s="1">
        <f t="shared" si="12"/>
        <v>270</v>
      </c>
      <c r="AR19" s="1">
        <f t="shared" si="8"/>
        <v>0.41670500794417009</v>
      </c>
      <c r="AS19" s="11">
        <f>AS18+((AS20-AS18)*(LN(D19)-LN(D18))/(LN(D20)-LN(D18)))</f>
        <v>0.14368292053736753</v>
      </c>
      <c r="AT19" s="11">
        <v>-0.3</v>
      </c>
      <c r="AU19" s="11">
        <f t="shared" si="13"/>
        <v>-0.3</v>
      </c>
      <c r="AV19" s="11">
        <f t="shared" si="14"/>
        <v>7.5</v>
      </c>
      <c r="AX19">
        <f t="shared" si="0"/>
        <v>-0.70825999999999967</v>
      </c>
    </row>
    <row r="20" spans="1:50" x14ac:dyDescent="0.15">
      <c r="A20" s="1" t="s">
        <v>64</v>
      </c>
      <c r="B20" s="1">
        <v>0</v>
      </c>
      <c r="D20" s="14">
        <v>0.5</v>
      </c>
      <c r="E20" s="10">
        <f t="shared" si="1"/>
        <v>3.3923656038637812E-2</v>
      </c>
      <c r="F20" s="11">
        <v>0.6</v>
      </c>
      <c r="G20" s="9">
        <f t="shared" si="2"/>
        <v>0.73817342135842301</v>
      </c>
      <c r="I20" s="6">
        <v>0.5</v>
      </c>
      <c r="J20">
        <v>456.6</v>
      </c>
      <c r="K20">
        <v>-2.669</v>
      </c>
      <c r="L20">
        <v>1.18</v>
      </c>
      <c r="M20">
        <v>1.88</v>
      </c>
      <c r="N20">
        <v>10</v>
      </c>
      <c r="O20">
        <v>4.0180999999999996</v>
      </c>
      <c r="P20">
        <v>-1.08</v>
      </c>
      <c r="Q20">
        <v>0.1</v>
      </c>
      <c r="R20">
        <v>0.9</v>
      </c>
      <c r="S20">
        <v>0</v>
      </c>
      <c r="T20">
        <v>-4.4000000000000003E-3</v>
      </c>
      <c r="U20">
        <v>0.57989999999999997</v>
      </c>
      <c r="V20">
        <v>-0.82</v>
      </c>
      <c r="W20">
        <v>0.4</v>
      </c>
      <c r="X20">
        <v>1.92</v>
      </c>
      <c r="Y20">
        <v>1.2500000000000001E-2</v>
      </c>
      <c r="Z20">
        <v>2.399</v>
      </c>
      <c r="AA20">
        <v>-2.3099999999999999E-2</v>
      </c>
      <c r="AB20">
        <v>-0.19</v>
      </c>
      <c r="AC20">
        <v>0.66200000000000003</v>
      </c>
      <c r="AD20">
        <v>-0.62</v>
      </c>
      <c r="AE20" s="5">
        <v>0.6</v>
      </c>
      <c r="AF20" s="5">
        <v>0.43</v>
      </c>
      <c r="AG20" s="5">
        <f t="shared" si="3"/>
        <v>0.73817342135842301</v>
      </c>
      <c r="AI20">
        <f t="shared" si="9"/>
        <v>3.3923656038637812E-2</v>
      </c>
      <c r="AJ20" s="1">
        <f t="shared" si="4"/>
        <v>0.73817342135842301</v>
      </c>
      <c r="AK20" s="12">
        <f t="shared" si="5"/>
        <v>316.16074402192896</v>
      </c>
      <c r="AL20" s="1">
        <f t="shared" si="10"/>
        <v>-3.3077135212603981</v>
      </c>
      <c r="AM20" s="1">
        <f t="shared" si="11"/>
        <v>-0.45110399999999984</v>
      </c>
      <c r="AN20" s="1">
        <f t="shared" si="6"/>
        <v>0</v>
      </c>
      <c r="AO20" s="1">
        <f t="shared" si="7"/>
        <v>0</v>
      </c>
      <c r="AP20" s="7"/>
      <c r="AQ20" s="1">
        <f t="shared" si="12"/>
        <v>270</v>
      </c>
      <c r="AR20" s="1">
        <f t="shared" si="8"/>
        <v>0.37517483155162279</v>
      </c>
      <c r="AS20" s="11">
        <v>0.1</v>
      </c>
      <c r="AT20" s="11">
        <v>-0.3</v>
      </c>
      <c r="AU20" s="11">
        <f t="shared" si="13"/>
        <v>-0.3</v>
      </c>
      <c r="AV20" s="11">
        <f t="shared" si="14"/>
        <v>7.5</v>
      </c>
      <c r="AX20">
        <f t="shared" si="0"/>
        <v>-0.75041999999999964</v>
      </c>
    </row>
    <row r="21" spans="1:50" x14ac:dyDescent="0.15">
      <c r="B21" s="1"/>
      <c r="D21" s="14">
        <v>0.6</v>
      </c>
      <c r="E21" s="10">
        <f t="shared" si="1"/>
        <v>2.8834792902567359E-2</v>
      </c>
      <c r="F21" s="11">
        <v>0.6</v>
      </c>
      <c r="G21" s="9">
        <f t="shared" si="2"/>
        <v>0.73817342135842301</v>
      </c>
      <c r="I21" s="6">
        <v>0.6</v>
      </c>
      <c r="J21">
        <v>430.3</v>
      </c>
      <c r="K21">
        <v>-2.5990000000000002</v>
      </c>
      <c r="L21">
        <v>1.18</v>
      </c>
      <c r="M21">
        <v>1.88</v>
      </c>
      <c r="N21">
        <v>10</v>
      </c>
      <c r="O21">
        <v>3.6055000000000001</v>
      </c>
      <c r="P21">
        <v>-0.99</v>
      </c>
      <c r="Q21">
        <v>0.1</v>
      </c>
      <c r="R21">
        <v>0.9</v>
      </c>
      <c r="S21">
        <v>0</v>
      </c>
      <c r="T21">
        <v>-5.0000000000000001E-3</v>
      </c>
      <c r="U21">
        <v>0.50209999999999999</v>
      </c>
      <c r="V21">
        <v>-0.7</v>
      </c>
      <c r="W21">
        <v>0.4</v>
      </c>
      <c r="X21">
        <v>1.7</v>
      </c>
      <c r="Y21">
        <v>1.24E-2</v>
      </c>
      <c r="Z21">
        <v>2.2730000000000001</v>
      </c>
      <c r="AA21">
        <v>-2.5600000000000001E-2</v>
      </c>
      <c r="AB21">
        <v>-0.16</v>
      </c>
      <c r="AC21">
        <v>0.57999999999999996</v>
      </c>
      <c r="AD21">
        <v>-0.5</v>
      </c>
      <c r="AE21" s="5">
        <v>0.6</v>
      </c>
      <c r="AF21" s="5">
        <v>0.43</v>
      </c>
      <c r="AG21" s="5">
        <f t="shared" si="3"/>
        <v>0.73817342135842301</v>
      </c>
      <c r="AI21">
        <f t="shared" si="9"/>
        <v>2.8834792902567359E-2</v>
      </c>
      <c r="AJ21" s="1">
        <f t="shared" si="4"/>
        <v>0.73817342135842301</v>
      </c>
      <c r="AK21" s="12">
        <f t="shared" si="5"/>
        <v>316.16074402192896</v>
      </c>
      <c r="AL21" s="1">
        <f t="shared" si="10"/>
        <v>-3.4295634291166026</v>
      </c>
      <c r="AM21" s="1">
        <f t="shared" si="11"/>
        <v>-0.47070399999999984</v>
      </c>
      <c r="AN21" s="1">
        <f t="shared" si="6"/>
        <v>0</v>
      </c>
      <c r="AO21" s="1">
        <f t="shared" si="7"/>
        <v>0</v>
      </c>
      <c r="AP21" s="7"/>
      <c r="AQ21" s="1">
        <f t="shared" si="12"/>
        <v>270</v>
      </c>
      <c r="AR21" s="1">
        <f t="shared" si="8"/>
        <v>0.35409489502128522</v>
      </c>
      <c r="AS21" s="11">
        <f>AS20+((AS23-AS20)*(LN(D21)-LN(D20))/(LN(D23)-LN(D20)))</f>
        <v>7.3696559416620622E-2</v>
      </c>
      <c r="AT21" s="11">
        <v>-0.3</v>
      </c>
      <c r="AU21" s="11">
        <f t="shared" si="13"/>
        <v>-0.3</v>
      </c>
      <c r="AV21" s="11">
        <f t="shared" si="14"/>
        <v>7.5</v>
      </c>
      <c r="AX21">
        <f t="shared" si="0"/>
        <v>-0.79381999999999975</v>
      </c>
    </row>
    <row r="22" spans="1:50" x14ac:dyDescent="0.15">
      <c r="A22" s="1" t="s">
        <v>46</v>
      </c>
      <c r="B22" s="1">
        <f>IF(B14=0,B11,B12)</f>
        <v>300</v>
      </c>
      <c r="D22" s="14">
        <v>0.75</v>
      </c>
      <c r="E22" s="10">
        <f t="shared" si="1"/>
        <v>2.2153154695102376E-2</v>
      </c>
      <c r="F22" s="11">
        <v>0.6</v>
      </c>
      <c r="G22" s="9">
        <f t="shared" si="2"/>
        <v>0.73817342135842301</v>
      </c>
      <c r="I22" s="6">
        <v>0.75</v>
      </c>
      <c r="J22">
        <v>410.5</v>
      </c>
      <c r="K22">
        <v>-2.4009999999999998</v>
      </c>
      <c r="L22">
        <v>1.18</v>
      </c>
      <c r="M22">
        <v>1.88</v>
      </c>
      <c r="N22">
        <v>10</v>
      </c>
      <c r="O22">
        <v>3.2174</v>
      </c>
      <c r="P22">
        <v>-0.91</v>
      </c>
      <c r="Q22">
        <v>0.1</v>
      </c>
      <c r="R22">
        <v>0.9</v>
      </c>
      <c r="S22">
        <v>0</v>
      </c>
      <c r="T22">
        <v>-5.7999999999999996E-3</v>
      </c>
      <c r="U22">
        <v>0.36870000000000003</v>
      </c>
      <c r="V22">
        <v>-0.54</v>
      </c>
      <c r="W22">
        <v>0.4</v>
      </c>
      <c r="X22">
        <v>1.42</v>
      </c>
      <c r="Y22">
        <v>1.2E-2</v>
      </c>
      <c r="Z22">
        <v>1.9930000000000001</v>
      </c>
      <c r="AA22">
        <v>-2.9600000000000001E-2</v>
      </c>
      <c r="AB22">
        <v>-0.12</v>
      </c>
      <c r="AC22">
        <v>0.48</v>
      </c>
      <c r="AD22">
        <v>-0.34</v>
      </c>
      <c r="AE22" s="5">
        <v>0.6</v>
      </c>
      <c r="AF22" s="5">
        <v>0.43</v>
      </c>
      <c r="AG22" s="5">
        <f t="shared" si="3"/>
        <v>0.73817342135842301</v>
      </c>
      <c r="AI22">
        <f t="shared" si="9"/>
        <v>2.2153154695102376E-2</v>
      </c>
      <c r="AJ22" s="1">
        <f t="shared" si="4"/>
        <v>0.73817342135842301</v>
      </c>
      <c r="AK22" s="12">
        <f t="shared" si="5"/>
        <v>316.16074402192896</v>
      </c>
      <c r="AL22" s="1">
        <f t="shared" si="10"/>
        <v>-3.6469133369728066</v>
      </c>
      <c r="AM22" s="1">
        <f t="shared" si="11"/>
        <v>-0.50206399999999984</v>
      </c>
      <c r="AN22" s="1">
        <f t="shared" si="6"/>
        <v>0</v>
      </c>
      <c r="AO22" s="1">
        <f t="shared" si="7"/>
        <v>0</v>
      </c>
      <c r="AP22" s="7"/>
      <c r="AQ22" s="1">
        <f t="shared" si="12"/>
        <v>270</v>
      </c>
      <c r="AR22" s="1">
        <f t="shared" si="8"/>
        <v>0.33920196849857731</v>
      </c>
      <c r="AS22" s="11">
        <f>AS20+((AS23-AS20)*(LN(D22)-LN(D20))/(LN(D23)-LN(D20)))</f>
        <v>4.150374992788438E-2</v>
      </c>
      <c r="AT22" s="11">
        <v>-0.3</v>
      </c>
      <c r="AU22" s="11">
        <f t="shared" si="13"/>
        <v>-0.3</v>
      </c>
      <c r="AV22" s="11">
        <f t="shared" si="14"/>
        <v>7.5</v>
      </c>
      <c r="AX22">
        <f t="shared" si="0"/>
        <v>-0.84017999999999948</v>
      </c>
    </row>
    <row r="23" spans="1:50" x14ac:dyDescent="0.15">
      <c r="D23" s="14">
        <v>1</v>
      </c>
      <c r="E23" s="10">
        <f t="shared" si="1"/>
        <v>1.643575485971412E-2</v>
      </c>
      <c r="F23" s="11">
        <v>0.6</v>
      </c>
      <c r="G23" s="9">
        <f t="shared" si="2"/>
        <v>0.73817342135842301</v>
      </c>
      <c r="I23" s="6">
        <v>1</v>
      </c>
      <c r="J23">
        <v>400</v>
      </c>
      <c r="K23">
        <v>-1.9550000000000001</v>
      </c>
      <c r="L23">
        <v>1.18</v>
      </c>
      <c r="M23">
        <v>1.88</v>
      </c>
      <c r="N23">
        <v>10</v>
      </c>
      <c r="O23">
        <v>2.7980999999999998</v>
      </c>
      <c r="P23">
        <v>-0.85</v>
      </c>
      <c r="Q23">
        <v>0.1</v>
      </c>
      <c r="R23">
        <v>0.9</v>
      </c>
      <c r="S23">
        <v>0</v>
      </c>
      <c r="T23">
        <v>-6.1999999999999998E-3</v>
      </c>
      <c r="U23">
        <v>0.17460000000000001</v>
      </c>
      <c r="V23">
        <v>-0.34</v>
      </c>
      <c r="W23">
        <v>0.4</v>
      </c>
      <c r="X23">
        <v>1.1000000000000001</v>
      </c>
      <c r="Y23">
        <v>1.14E-2</v>
      </c>
      <c r="Z23">
        <v>1.47</v>
      </c>
      <c r="AA23">
        <v>-3.6299999999999999E-2</v>
      </c>
      <c r="AB23">
        <v>-7.0000000000000007E-2</v>
      </c>
      <c r="AC23">
        <v>0.33</v>
      </c>
      <c r="AD23">
        <v>-0.14000000000000001</v>
      </c>
      <c r="AE23" s="5">
        <v>0.6</v>
      </c>
      <c r="AF23" s="5">
        <v>0.43</v>
      </c>
      <c r="AG23" s="5">
        <f t="shared" si="3"/>
        <v>0.73817342135842301</v>
      </c>
      <c r="AI23">
        <f>EXP(AL23+AM23+AN23+AO23+AR23)</f>
        <v>1.643575485971412E-2</v>
      </c>
      <c r="AJ23" s="1">
        <f t="shared" si="4"/>
        <v>0.73817342135842301</v>
      </c>
      <c r="AK23" s="12">
        <f t="shared" si="5"/>
        <v>316.16074402192896</v>
      </c>
      <c r="AL23" s="1">
        <f t="shared" si="10"/>
        <v>-3.8730257525076603</v>
      </c>
      <c r="AM23" s="1">
        <f t="shared" si="11"/>
        <v>-0.55459199999999975</v>
      </c>
      <c r="AN23" s="1">
        <f t="shared" si="6"/>
        <v>0</v>
      </c>
      <c r="AO23" s="1">
        <f t="shared" si="7"/>
        <v>0</v>
      </c>
      <c r="AP23" s="7"/>
      <c r="AQ23" s="1">
        <f t="shared" si="12"/>
        <v>270</v>
      </c>
      <c r="AR23" s="1">
        <f t="shared" si="8"/>
        <v>0.31932160959694095</v>
      </c>
      <c r="AS23" s="11">
        <v>0</v>
      </c>
      <c r="AT23" s="11">
        <v>-0.3</v>
      </c>
      <c r="AU23" s="11">
        <f t="shared" si="13"/>
        <v>-0.3</v>
      </c>
      <c r="AV23" s="11">
        <f t="shared" si="14"/>
        <v>7.5</v>
      </c>
      <c r="AX23">
        <f t="shared" si="0"/>
        <v>-0.8369000000000002</v>
      </c>
    </row>
    <row r="24" spans="1:50" x14ac:dyDescent="0.15">
      <c r="D24" s="14">
        <v>1.5</v>
      </c>
      <c r="E24" s="10">
        <f t="shared" si="1"/>
        <v>1.0032574806034828E-2</v>
      </c>
      <c r="F24" s="11">
        <v>0.6</v>
      </c>
      <c r="G24" s="9">
        <f t="shared" si="2"/>
        <v>0.73817342135842301</v>
      </c>
      <c r="I24" s="6">
        <v>1.5</v>
      </c>
      <c r="J24">
        <v>400</v>
      </c>
      <c r="K24">
        <v>-1.0249999999999999</v>
      </c>
      <c r="L24">
        <v>1.18</v>
      </c>
      <c r="M24">
        <v>1.88</v>
      </c>
      <c r="N24">
        <v>10</v>
      </c>
      <c r="O24">
        <v>2.0123000000000002</v>
      </c>
      <c r="P24">
        <v>-0.77</v>
      </c>
      <c r="Q24">
        <v>0.1</v>
      </c>
      <c r="R24">
        <v>0.9</v>
      </c>
      <c r="S24">
        <v>0</v>
      </c>
      <c r="T24">
        <v>-6.4000000000000003E-3</v>
      </c>
      <c r="U24">
        <v>-8.2000000000000003E-2</v>
      </c>
      <c r="V24">
        <v>-0.05</v>
      </c>
      <c r="W24">
        <v>0.4</v>
      </c>
      <c r="X24">
        <v>0.7</v>
      </c>
      <c r="Y24">
        <v>0.01</v>
      </c>
      <c r="Z24">
        <v>0.40799999999999997</v>
      </c>
      <c r="AA24">
        <v>-4.9299999999999997E-2</v>
      </c>
      <c r="AB24">
        <v>0</v>
      </c>
      <c r="AC24">
        <v>0.31</v>
      </c>
      <c r="AD24">
        <v>0</v>
      </c>
      <c r="AE24" s="5">
        <v>0.6</v>
      </c>
      <c r="AF24" s="5">
        <v>0.43</v>
      </c>
      <c r="AG24" s="5">
        <f t="shared" si="3"/>
        <v>0.73817342135842301</v>
      </c>
      <c r="AI24">
        <f t="shared" si="9"/>
        <v>1.0032574806034828E-2</v>
      </c>
      <c r="AJ24" s="1">
        <f t="shared" si="4"/>
        <v>0.73817342135842301</v>
      </c>
      <c r="AK24" s="12">
        <f t="shared" si="5"/>
        <v>316.16074402192896</v>
      </c>
      <c r="AL24" s="1">
        <f t="shared" si="10"/>
        <v>-4.255388137327917</v>
      </c>
      <c r="AM24" s="1">
        <f t="shared" si="11"/>
        <v>-0.65651199999999976</v>
      </c>
      <c r="AN24" s="1">
        <f t="shared" si="6"/>
        <v>0</v>
      </c>
      <c r="AO24" s="1">
        <f t="shared" si="7"/>
        <v>0</v>
      </c>
      <c r="AP24" s="7"/>
      <c r="AQ24" s="1">
        <f t="shared" si="12"/>
        <v>270</v>
      </c>
      <c r="AR24" s="1">
        <f t="shared" si="8"/>
        <v>0.30998213784719592</v>
      </c>
      <c r="AS24" s="11">
        <f>AS23+((AS25-AS23)*(LN(D24)-LN(D23))/(LN(D25)-LN(D23)))</f>
        <v>-5.8496250072115626E-2</v>
      </c>
      <c r="AT24" s="11">
        <v>-0.3</v>
      </c>
      <c r="AU24" s="11">
        <f t="shared" si="13"/>
        <v>-0.3</v>
      </c>
      <c r="AV24" s="11">
        <f t="shared" si="14"/>
        <v>7.5</v>
      </c>
      <c r="AX24">
        <f t="shared" si="0"/>
        <v>-0.80149999999999988</v>
      </c>
    </row>
    <row r="25" spans="1:50" x14ac:dyDescent="0.15">
      <c r="D25" s="14">
        <v>2</v>
      </c>
      <c r="E25" s="10">
        <f t="shared" si="1"/>
        <v>6.9923375239917054E-3</v>
      </c>
      <c r="F25" s="11">
        <v>0.6</v>
      </c>
      <c r="G25" s="9">
        <f t="shared" si="2"/>
        <v>0.73817342135842301</v>
      </c>
      <c r="I25" s="6">
        <v>2</v>
      </c>
      <c r="J25">
        <v>400</v>
      </c>
      <c r="K25">
        <v>-0.29899999999999999</v>
      </c>
      <c r="L25">
        <v>1.18</v>
      </c>
      <c r="M25">
        <v>1.88</v>
      </c>
      <c r="N25">
        <v>10</v>
      </c>
      <c r="O25">
        <v>1.4128000000000001</v>
      </c>
      <c r="P25">
        <v>-0.71</v>
      </c>
      <c r="Q25">
        <v>0.1</v>
      </c>
      <c r="R25">
        <v>0.9</v>
      </c>
      <c r="S25">
        <v>0</v>
      </c>
      <c r="T25">
        <v>-6.4000000000000003E-3</v>
      </c>
      <c r="U25">
        <v>-0.28210000000000002</v>
      </c>
      <c r="V25">
        <v>0.12</v>
      </c>
      <c r="W25">
        <v>0.4</v>
      </c>
      <c r="X25">
        <v>0.7</v>
      </c>
      <c r="Y25">
        <v>8.5000000000000006E-3</v>
      </c>
      <c r="Z25">
        <v>-0.40100000000000002</v>
      </c>
      <c r="AA25">
        <v>-6.0999999999999999E-2</v>
      </c>
      <c r="AB25">
        <v>0</v>
      </c>
      <c r="AC25">
        <v>0.3</v>
      </c>
      <c r="AD25">
        <v>0</v>
      </c>
      <c r="AE25" s="5">
        <v>0.6</v>
      </c>
      <c r="AF25" s="5">
        <v>0.43</v>
      </c>
      <c r="AG25" s="5">
        <f t="shared" si="3"/>
        <v>0.73817342135842301</v>
      </c>
      <c r="AI25">
        <f t="shared" si="9"/>
        <v>6.9923375239917054E-3</v>
      </c>
      <c r="AJ25" s="1">
        <f t="shared" si="4"/>
        <v>0.73817342135842301</v>
      </c>
      <c r="AK25" s="12">
        <f t="shared" si="5"/>
        <v>316.16074402192896</v>
      </c>
      <c r="AL25" s="1">
        <f t="shared" si="10"/>
        <v>-4.5095130912560188</v>
      </c>
      <c r="AM25" s="1">
        <f t="shared" si="11"/>
        <v>-0.74823999999999979</v>
      </c>
      <c r="AN25" s="1">
        <f t="shared" si="6"/>
        <v>0</v>
      </c>
      <c r="AO25" s="1">
        <f t="shared" si="7"/>
        <v>0</v>
      </c>
      <c r="AP25" s="7"/>
      <c r="AQ25" s="1">
        <f t="shared" si="12"/>
        <v>270</v>
      </c>
      <c r="AR25" s="1">
        <f t="shared" si="8"/>
        <v>0.29481272234412692</v>
      </c>
      <c r="AS25" s="11">
        <v>-0.1</v>
      </c>
      <c r="AT25" s="11">
        <v>-0.3</v>
      </c>
      <c r="AU25" s="11">
        <f t="shared" si="13"/>
        <v>-0.3</v>
      </c>
      <c r="AV25" s="11">
        <f t="shared" si="14"/>
        <v>7.5</v>
      </c>
      <c r="AX25">
        <f t="shared" si="0"/>
        <v>-0.75381999999999993</v>
      </c>
    </row>
    <row r="26" spans="1:50" x14ac:dyDescent="0.15">
      <c r="A26" s="1" t="s">
        <v>50</v>
      </c>
      <c r="B26" s="1">
        <f>AH10</f>
        <v>1.5841205214750836E-2</v>
      </c>
      <c r="D26" s="14">
        <v>2.5</v>
      </c>
      <c r="E26" s="10">
        <f t="shared" si="1"/>
        <v>5.3123697146251862E-3</v>
      </c>
      <c r="F26" s="11">
        <v>0.6</v>
      </c>
      <c r="G26" s="9">
        <f t="shared" si="2"/>
        <v>0.73817342135842301</v>
      </c>
      <c r="I26" s="6">
        <v>2.5</v>
      </c>
      <c r="J26">
        <v>400</v>
      </c>
      <c r="K26">
        <v>0</v>
      </c>
      <c r="L26">
        <v>1.18</v>
      </c>
      <c r="M26">
        <v>1.88</v>
      </c>
      <c r="N26">
        <v>10</v>
      </c>
      <c r="O26">
        <v>0.99760000000000004</v>
      </c>
      <c r="P26">
        <v>-0.67</v>
      </c>
      <c r="Q26">
        <v>0.1</v>
      </c>
      <c r="R26">
        <v>0.9</v>
      </c>
      <c r="S26">
        <v>0</v>
      </c>
      <c r="T26">
        <v>-6.4000000000000003E-3</v>
      </c>
      <c r="U26">
        <v>-0.4108</v>
      </c>
      <c r="V26">
        <v>0.25</v>
      </c>
      <c r="W26">
        <v>0.4</v>
      </c>
      <c r="X26">
        <v>0.7</v>
      </c>
      <c r="Y26">
        <v>6.8999999999999999E-3</v>
      </c>
      <c r="Z26">
        <v>-0.72299999999999998</v>
      </c>
      <c r="AA26">
        <v>-7.1099999999999997E-2</v>
      </c>
      <c r="AB26">
        <v>0</v>
      </c>
      <c r="AC26">
        <v>0.3</v>
      </c>
      <c r="AD26">
        <v>0</v>
      </c>
      <c r="AE26" s="5">
        <v>0.6</v>
      </c>
      <c r="AF26" s="5">
        <v>0.43</v>
      </c>
      <c r="AG26" s="5">
        <f t="shared" si="3"/>
        <v>0.73817342135842301</v>
      </c>
      <c r="AI26">
        <f t="shared" si="9"/>
        <v>5.3123697146251862E-3</v>
      </c>
      <c r="AJ26" s="1">
        <f t="shared" si="4"/>
        <v>0.73817342135842301</v>
      </c>
      <c r="AK26" s="12">
        <f t="shared" si="5"/>
        <v>316.16074402192896</v>
      </c>
      <c r="AL26" s="1">
        <f t="shared" si="10"/>
        <v>-4.6944630605414215</v>
      </c>
      <c r="AM26" s="1">
        <f t="shared" si="11"/>
        <v>-0.82742399999999972</v>
      </c>
      <c r="AN26" s="1">
        <f t="shared" si="6"/>
        <v>0</v>
      </c>
      <c r="AO26" s="1">
        <f t="shared" si="7"/>
        <v>0</v>
      </c>
      <c r="AP26" s="7"/>
      <c r="AQ26" s="1">
        <f t="shared" si="12"/>
        <v>270</v>
      </c>
      <c r="AR26" s="1">
        <f t="shared" si="8"/>
        <v>0.28416979120324598</v>
      </c>
      <c r="AS26" s="11">
        <f>AS25+((AS27-AS25)*(LN(D26)-LN(D25))/(LN(D27)-LN(D25)))</f>
        <v>-0.15503397132132085</v>
      </c>
      <c r="AT26" s="11">
        <v>-0.3</v>
      </c>
      <c r="AU26" s="11">
        <f t="shared" si="13"/>
        <v>-0.3</v>
      </c>
      <c r="AV26" s="11">
        <f t="shared" si="14"/>
        <v>7.5</v>
      </c>
      <c r="AX26">
        <f t="shared" si="0"/>
        <v>-0.72299999999999998</v>
      </c>
    </row>
    <row r="27" spans="1:50" x14ac:dyDescent="0.15">
      <c r="D27" s="14">
        <v>3</v>
      </c>
      <c r="E27" s="10">
        <f t="shared" si="1"/>
        <v>4.0615529613531199E-3</v>
      </c>
      <c r="F27" s="11">
        <v>0.6</v>
      </c>
      <c r="G27" s="9">
        <f t="shared" si="2"/>
        <v>0.73817342135842301</v>
      </c>
      <c r="I27" s="6">
        <v>3</v>
      </c>
      <c r="J27">
        <v>400</v>
      </c>
      <c r="K27">
        <v>0</v>
      </c>
      <c r="L27">
        <v>1.18</v>
      </c>
      <c r="M27">
        <v>1.88</v>
      </c>
      <c r="N27">
        <v>10</v>
      </c>
      <c r="O27">
        <v>0.64429999999999998</v>
      </c>
      <c r="P27">
        <v>-0.64</v>
      </c>
      <c r="Q27">
        <v>0.1</v>
      </c>
      <c r="R27">
        <v>0.9</v>
      </c>
      <c r="S27">
        <v>0</v>
      </c>
      <c r="T27">
        <v>-6.4000000000000003E-3</v>
      </c>
      <c r="U27">
        <v>-0.4466</v>
      </c>
      <c r="V27">
        <v>0.3</v>
      </c>
      <c r="W27">
        <v>0.4</v>
      </c>
      <c r="X27">
        <v>0.7</v>
      </c>
      <c r="Y27">
        <v>5.4000000000000003E-3</v>
      </c>
      <c r="Z27">
        <v>-0.67300000000000004</v>
      </c>
      <c r="AA27">
        <v>-7.9799999999999996E-2</v>
      </c>
      <c r="AB27">
        <v>0</v>
      </c>
      <c r="AC27">
        <v>0.3</v>
      </c>
      <c r="AD27">
        <v>0</v>
      </c>
      <c r="AE27" s="5">
        <v>0.6</v>
      </c>
      <c r="AF27" s="5">
        <v>0.43</v>
      </c>
      <c r="AG27" s="5">
        <f t="shared" si="3"/>
        <v>0.73817342135842301</v>
      </c>
      <c r="AI27">
        <f t="shared" si="9"/>
        <v>4.0615529613531199E-3</v>
      </c>
      <c r="AJ27" s="1">
        <f t="shared" si="4"/>
        <v>0.73817342135842301</v>
      </c>
      <c r="AK27" s="12">
        <f t="shared" si="5"/>
        <v>316.16074402192896</v>
      </c>
      <c r="AL27" s="1">
        <f t="shared" si="10"/>
        <v>-4.875075537505472</v>
      </c>
      <c r="AM27" s="1">
        <f t="shared" si="11"/>
        <v>-0.89563199999999976</v>
      </c>
      <c r="AN27" s="1">
        <f t="shared" si="6"/>
        <v>0</v>
      </c>
      <c r="AO27" s="1">
        <f t="shared" si="7"/>
        <v>0</v>
      </c>
      <c r="AP27" s="7"/>
      <c r="AQ27" s="1">
        <f t="shared" si="12"/>
        <v>270</v>
      </c>
      <c r="AR27" s="1">
        <f t="shared" si="8"/>
        <v>0.26451766179776565</v>
      </c>
      <c r="AS27" s="11">
        <v>-0.2</v>
      </c>
      <c r="AT27" s="11">
        <v>-0.3</v>
      </c>
      <c r="AU27" s="11">
        <f t="shared" si="13"/>
        <v>-0.3</v>
      </c>
      <c r="AV27" s="11">
        <f t="shared" si="14"/>
        <v>7.5</v>
      </c>
      <c r="AX27">
        <f t="shared" si="0"/>
        <v>-0.67300000000000004</v>
      </c>
    </row>
    <row r="28" spans="1:50" x14ac:dyDescent="0.15">
      <c r="D28" s="14">
        <v>4</v>
      </c>
      <c r="E28" s="10">
        <f t="shared" si="1"/>
        <v>2.8372988496209758E-3</v>
      </c>
      <c r="F28" s="11">
        <v>0.6</v>
      </c>
      <c r="G28" s="9">
        <f t="shared" si="2"/>
        <v>0.73817342135842301</v>
      </c>
      <c r="I28" s="6">
        <v>4</v>
      </c>
      <c r="J28">
        <v>400</v>
      </c>
      <c r="K28">
        <v>0</v>
      </c>
      <c r="L28">
        <v>1.18</v>
      </c>
      <c r="M28">
        <v>1.88</v>
      </c>
      <c r="N28">
        <v>10</v>
      </c>
      <c r="O28">
        <v>6.5699999999999995E-2</v>
      </c>
      <c r="P28">
        <v>-0.57999999999999996</v>
      </c>
      <c r="Q28">
        <v>0.1</v>
      </c>
      <c r="R28">
        <v>0.9</v>
      </c>
      <c r="S28">
        <v>0</v>
      </c>
      <c r="T28">
        <v>-6.4000000000000003E-3</v>
      </c>
      <c r="U28">
        <v>-0.43440000000000001</v>
      </c>
      <c r="V28">
        <v>0.3</v>
      </c>
      <c r="W28">
        <v>0.4</v>
      </c>
      <c r="X28">
        <v>0.7</v>
      </c>
      <c r="Y28">
        <v>2.7000000000000001E-3</v>
      </c>
      <c r="Z28">
        <v>-0.627</v>
      </c>
      <c r="AA28">
        <v>-9.35E-2</v>
      </c>
      <c r="AB28">
        <v>0</v>
      </c>
      <c r="AC28">
        <v>0.3</v>
      </c>
      <c r="AD28">
        <v>0</v>
      </c>
      <c r="AE28" s="5">
        <v>0.6</v>
      </c>
      <c r="AF28" s="5">
        <v>0.43</v>
      </c>
      <c r="AG28" s="5">
        <f t="shared" si="3"/>
        <v>0.73817342135842301</v>
      </c>
      <c r="AI28">
        <f>EXP(AL28+AM28+AN28+AO28+AR28)</f>
        <v>2.8372988496209758E-3</v>
      </c>
      <c r="AJ28" s="1">
        <f t="shared" si="4"/>
        <v>0.73817342135842301</v>
      </c>
      <c r="AK28" s="12">
        <f t="shared" si="5"/>
        <v>316.16074402192896</v>
      </c>
      <c r="AL28" s="1">
        <f t="shared" si="10"/>
        <v>-5.1083004914335737</v>
      </c>
      <c r="AM28" s="1">
        <f t="shared" si="11"/>
        <v>-1.0030399999999997</v>
      </c>
      <c r="AN28" s="1">
        <f t="shared" si="6"/>
        <v>0</v>
      </c>
      <c r="AO28" s="1">
        <f t="shared" si="7"/>
        <v>0</v>
      </c>
      <c r="AP28" s="7"/>
      <c r="AQ28" s="1">
        <f t="shared" si="12"/>
        <v>270</v>
      </c>
      <c r="AR28" s="1">
        <f t="shared" si="8"/>
        <v>0.24643770274472371</v>
      </c>
      <c r="AS28" s="11">
        <v>-0.2</v>
      </c>
      <c r="AT28" s="11">
        <v>-0.3</v>
      </c>
      <c r="AU28" s="11">
        <f t="shared" si="13"/>
        <v>-0.3</v>
      </c>
      <c r="AV28" s="11">
        <f t="shared" si="14"/>
        <v>7.5</v>
      </c>
      <c r="AX28">
        <f t="shared" si="0"/>
        <v>-0.627</v>
      </c>
    </row>
    <row r="29" spans="1:50" x14ac:dyDescent="0.15">
      <c r="D29" s="14">
        <v>5</v>
      </c>
      <c r="E29" s="10">
        <f t="shared" si="1"/>
        <v>2.0088013497438053E-3</v>
      </c>
      <c r="F29" s="11">
        <v>0.6</v>
      </c>
      <c r="G29" s="9">
        <f t="shared" si="2"/>
        <v>0.73817342135842301</v>
      </c>
      <c r="I29" s="6">
        <v>5</v>
      </c>
      <c r="J29">
        <v>400</v>
      </c>
      <c r="K29">
        <v>0</v>
      </c>
      <c r="L29">
        <v>1.18</v>
      </c>
      <c r="M29">
        <v>1.88</v>
      </c>
      <c r="N29">
        <v>10</v>
      </c>
      <c r="O29">
        <v>-0.46239999999999998</v>
      </c>
      <c r="P29">
        <v>-0.54</v>
      </c>
      <c r="Q29">
        <v>0.1</v>
      </c>
      <c r="R29">
        <v>0.9</v>
      </c>
      <c r="S29">
        <v>0</v>
      </c>
      <c r="T29">
        <v>-6.4000000000000003E-3</v>
      </c>
      <c r="U29">
        <v>-0.43680000000000002</v>
      </c>
      <c r="V29">
        <v>0.3</v>
      </c>
      <c r="W29">
        <v>0.4</v>
      </c>
      <c r="X29">
        <v>0.7</v>
      </c>
      <c r="Y29">
        <v>5.0000000000000001E-4</v>
      </c>
      <c r="Z29">
        <v>-0.59599999999999997</v>
      </c>
      <c r="AA29">
        <v>-9.8000000000000004E-2</v>
      </c>
      <c r="AB29">
        <v>0</v>
      </c>
      <c r="AC29">
        <v>0.3</v>
      </c>
      <c r="AD29">
        <v>0</v>
      </c>
      <c r="AE29" s="5">
        <v>0.6</v>
      </c>
      <c r="AF29" s="5">
        <v>0.43</v>
      </c>
      <c r="AG29" s="5">
        <f t="shared" si="3"/>
        <v>0.73817342135842301</v>
      </c>
      <c r="AI29">
        <f t="shared" si="9"/>
        <v>2.0088013497438053E-3</v>
      </c>
      <c r="AJ29" s="1">
        <f t="shared" si="4"/>
        <v>0.73817342135842301</v>
      </c>
      <c r="AK29" s="12">
        <f t="shared" si="5"/>
        <v>316.16074402192896</v>
      </c>
      <c r="AL29" s="1">
        <f t="shared" si="10"/>
        <v>-5.4061504607189761</v>
      </c>
      <c r="AM29" s="1">
        <f t="shared" si="11"/>
        <v>-1.0383199999999997</v>
      </c>
      <c r="AN29" s="1">
        <f t="shared" si="6"/>
        <v>0</v>
      </c>
      <c r="AO29" s="1">
        <f t="shared" si="7"/>
        <v>0</v>
      </c>
      <c r="AP29" s="7"/>
      <c r="AQ29" s="1">
        <f t="shared" si="12"/>
        <v>270</v>
      </c>
      <c r="AR29" s="1">
        <f t="shared" si="8"/>
        <v>0.23425338251332586</v>
      </c>
      <c r="AS29" s="11">
        <v>-0.2</v>
      </c>
      <c r="AT29" s="11">
        <v>-0.3</v>
      </c>
      <c r="AU29" s="11">
        <f t="shared" si="13"/>
        <v>-0.3</v>
      </c>
      <c r="AV29" s="11">
        <f t="shared" si="14"/>
        <v>7.5</v>
      </c>
      <c r="AX29">
        <f t="shared" si="0"/>
        <v>-0.59599999999999997</v>
      </c>
    </row>
    <row r="30" spans="1:50" x14ac:dyDescent="0.15">
      <c r="D30" s="14">
        <v>6</v>
      </c>
      <c r="E30" s="10">
        <f t="shared" si="1"/>
        <v>1.4880952609952521E-3</v>
      </c>
      <c r="F30" s="11">
        <v>0.6</v>
      </c>
      <c r="G30" s="9">
        <f t="shared" si="2"/>
        <v>0.73817342135842301</v>
      </c>
      <c r="I30" s="6">
        <v>6</v>
      </c>
      <c r="J30">
        <v>400</v>
      </c>
      <c r="K30">
        <v>0</v>
      </c>
      <c r="L30">
        <v>1.18</v>
      </c>
      <c r="M30">
        <v>1.88</v>
      </c>
      <c r="N30">
        <v>10</v>
      </c>
      <c r="O30">
        <v>-0.98089999999999999</v>
      </c>
      <c r="P30">
        <v>-0.5</v>
      </c>
      <c r="Q30">
        <v>0.1</v>
      </c>
      <c r="R30">
        <v>0.9</v>
      </c>
      <c r="S30">
        <v>0</v>
      </c>
      <c r="T30">
        <v>-6.4000000000000003E-3</v>
      </c>
      <c r="U30">
        <v>-0.45860000000000001</v>
      </c>
      <c r="V30">
        <v>0.3</v>
      </c>
      <c r="W30">
        <v>0.4</v>
      </c>
      <c r="X30">
        <v>0.7</v>
      </c>
      <c r="Y30">
        <v>-1.2999999999999999E-3</v>
      </c>
      <c r="Z30">
        <v>-0.56599999999999995</v>
      </c>
      <c r="AA30">
        <v>-9.8000000000000004E-2</v>
      </c>
      <c r="AB30">
        <v>0</v>
      </c>
      <c r="AC30">
        <v>0.3</v>
      </c>
      <c r="AD30">
        <v>0</v>
      </c>
      <c r="AE30" s="5">
        <v>0.6</v>
      </c>
      <c r="AF30" s="5">
        <v>0.43</v>
      </c>
      <c r="AG30" s="5">
        <f t="shared" si="3"/>
        <v>0.73817342135842301</v>
      </c>
      <c r="AI30">
        <f t="shared" si="9"/>
        <v>1.4880952609952521E-3</v>
      </c>
      <c r="AJ30" s="1">
        <f t="shared" si="4"/>
        <v>0.73817342135842301</v>
      </c>
      <c r="AK30" s="12">
        <f t="shared" si="5"/>
        <v>316.16074402192896</v>
      </c>
      <c r="AL30" s="1">
        <f t="shared" si="10"/>
        <v>-5.6944004300043778</v>
      </c>
      <c r="AM30" s="1">
        <f t="shared" si="11"/>
        <v>-1.0383199999999997</v>
      </c>
      <c r="AN30" s="1">
        <f t="shared" si="6"/>
        <v>0</v>
      </c>
      <c r="AO30" s="1">
        <f t="shared" si="7"/>
        <v>0</v>
      </c>
      <c r="AP30" s="7"/>
      <c r="AQ30" s="1">
        <f t="shared" si="12"/>
        <v>270</v>
      </c>
      <c r="AR30" s="1">
        <f t="shared" si="8"/>
        <v>0.22246210487003765</v>
      </c>
      <c r="AS30" s="11">
        <v>-0.2</v>
      </c>
      <c r="AT30" s="11">
        <v>-0.3</v>
      </c>
      <c r="AU30" s="11">
        <f t="shared" si="13"/>
        <v>-0.3</v>
      </c>
      <c r="AV30" s="11">
        <f t="shared" si="14"/>
        <v>7.5</v>
      </c>
      <c r="AX30">
        <f t="shared" si="0"/>
        <v>-0.56599999999999995</v>
      </c>
    </row>
    <row r="31" spans="1:50" x14ac:dyDescent="0.15">
      <c r="D31" s="14">
        <v>7.5</v>
      </c>
      <c r="E31" s="10">
        <f t="shared" si="1"/>
        <v>9.9204319054840904E-4</v>
      </c>
      <c r="F31" s="11">
        <v>0.6</v>
      </c>
      <c r="G31" s="9">
        <f t="shared" si="2"/>
        <v>0.73817342135842301</v>
      </c>
      <c r="I31" s="6">
        <v>7.5</v>
      </c>
      <c r="J31">
        <v>400</v>
      </c>
      <c r="K31">
        <v>0</v>
      </c>
      <c r="L31">
        <v>1.18</v>
      </c>
      <c r="M31">
        <v>1.88</v>
      </c>
      <c r="N31">
        <v>10</v>
      </c>
      <c r="O31">
        <v>-1.6016999999999999</v>
      </c>
      <c r="P31">
        <v>-0.46</v>
      </c>
      <c r="Q31">
        <v>0.1</v>
      </c>
      <c r="R31">
        <v>0.9</v>
      </c>
      <c r="S31">
        <v>0</v>
      </c>
      <c r="T31">
        <v>-6.4000000000000003E-3</v>
      </c>
      <c r="U31">
        <v>-0.44330000000000003</v>
      </c>
      <c r="V31">
        <v>0.3</v>
      </c>
      <c r="W31">
        <v>0.4</v>
      </c>
      <c r="X31">
        <v>0.7</v>
      </c>
      <c r="Y31">
        <v>-3.3E-3</v>
      </c>
      <c r="Z31">
        <v>-0.52800000000000002</v>
      </c>
      <c r="AA31">
        <v>-9.8000000000000004E-2</v>
      </c>
      <c r="AB31">
        <v>0</v>
      </c>
      <c r="AC31">
        <v>0.3</v>
      </c>
      <c r="AD31">
        <v>0</v>
      </c>
      <c r="AE31" s="5">
        <v>0.6</v>
      </c>
      <c r="AF31" s="5">
        <v>0.43</v>
      </c>
      <c r="AG31" s="5">
        <f t="shared" si="3"/>
        <v>0.73817342135842301</v>
      </c>
      <c r="AI31">
        <f t="shared" si="9"/>
        <v>9.9204319054840904E-4</v>
      </c>
      <c r="AJ31" s="1">
        <f t="shared" si="4"/>
        <v>0.73817342135842301</v>
      </c>
      <c r="AK31" s="12">
        <f t="shared" si="5"/>
        <v>316.16074402192896</v>
      </c>
      <c r="AL31" s="1">
        <f t="shared" si="10"/>
        <v>-6.0849503992897791</v>
      </c>
      <c r="AM31" s="1">
        <f t="shared" si="11"/>
        <v>-1.0383199999999997</v>
      </c>
      <c r="AN31" s="1">
        <f t="shared" si="6"/>
        <v>0</v>
      </c>
      <c r="AO31" s="1">
        <f t="shared" si="7"/>
        <v>0</v>
      </c>
      <c r="AP31" s="7"/>
      <c r="AQ31" s="1">
        <f t="shared" si="12"/>
        <v>270</v>
      </c>
      <c r="AR31" s="1">
        <f t="shared" si="8"/>
        <v>0.20752648652187261</v>
      </c>
      <c r="AS31" s="11">
        <v>-0.2</v>
      </c>
      <c r="AT31" s="11">
        <v>-0.3</v>
      </c>
      <c r="AU31" s="11">
        <f t="shared" si="13"/>
        <v>-0.3</v>
      </c>
      <c r="AV31" s="11">
        <f t="shared" si="14"/>
        <v>7.5</v>
      </c>
      <c r="AX31">
        <f t="shared" si="0"/>
        <v>-0.52800000000000002</v>
      </c>
    </row>
    <row r="32" spans="1:50" x14ac:dyDescent="0.15">
      <c r="D32" s="14">
        <v>10</v>
      </c>
      <c r="E32" s="10">
        <f t="shared" si="1"/>
        <v>6.9485880673830151E-4</v>
      </c>
      <c r="F32" s="11">
        <v>0.6</v>
      </c>
      <c r="G32" s="9">
        <f t="shared" si="2"/>
        <v>0.73817342135842301</v>
      </c>
      <c r="I32" s="6">
        <v>10</v>
      </c>
      <c r="J32">
        <v>400</v>
      </c>
      <c r="K32">
        <v>0</v>
      </c>
      <c r="L32">
        <v>1.18</v>
      </c>
      <c r="M32">
        <v>1.88</v>
      </c>
      <c r="N32">
        <v>10</v>
      </c>
      <c r="O32">
        <v>-2.2936999999999999</v>
      </c>
      <c r="P32">
        <v>-0.4</v>
      </c>
      <c r="Q32">
        <v>0.1</v>
      </c>
      <c r="R32">
        <v>0.9</v>
      </c>
      <c r="S32">
        <v>0</v>
      </c>
      <c r="T32">
        <v>-6.4000000000000003E-3</v>
      </c>
      <c r="U32">
        <v>-0.48280000000000001</v>
      </c>
      <c r="V32">
        <v>0.3</v>
      </c>
      <c r="W32">
        <v>0.4</v>
      </c>
      <c r="X32">
        <v>0.7</v>
      </c>
      <c r="Y32">
        <v>-6.0000000000000001E-3</v>
      </c>
      <c r="Z32">
        <v>-0.504</v>
      </c>
      <c r="AA32">
        <v>-9.8000000000000004E-2</v>
      </c>
      <c r="AB32">
        <v>0</v>
      </c>
      <c r="AC32">
        <v>0.3</v>
      </c>
      <c r="AD32">
        <v>0</v>
      </c>
      <c r="AE32" s="5">
        <v>0.6</v>
      </c>
      <c r="AF32" s="5">
        <v>0.43</v>
      </c>
      <c r="AG32" s="5">
        <f t="shared" si="3"/>
        <v>0.73817342135842301</v>
      </c>
      <c r="AI32">
        <f t="shared" si="9"/>
        <v>6.9485880673830151E-4</v>
      </c>
      <c r="AJ32" s="1">
        <f t="shared" si="4"/>
        <v>0.73817342135842301</v>
      </c>
      <c r="AK32" s="12">
        <f t="shared" si="5"/>
        <v>316.16074402192896</v>
      </c>
      <c r="AL32" s="1">
        <f t="shared" si="10"/>
        <v>-6.4315753532178812</v>
      </c>
      <c r="AM32" s="1">
        <f t="shared" si="11"/>
        <v>-1.0383199999999997</v>
      </c>
      <c r="AN32" s="1">
        <f t="shared" si="6"/>
        <v>0</v>
      </c>
      <c r="AO32" s="1">
        <f t="shared" si="7"/>
        <v>0</v>
      </c>
      <c r="AP32" s="13"/>
      <c r="AQ32" s="1">
        <f t="shared" si="12"/>
        <v>270</v>
      </c>
      <c r="AR32" s="1">
        <f t="shared" si="8"/>
        <v>0.19809346440724201</v>
      </c>
      <c r="AS32" s="11">
        <v>-0.2</v>
      </c>
      <c r="AT32" s="11">
        <v>-0.3</v>
      </c>
      <c r="AU32" s="11">
        <f>IF($B$14=0,AS32+B$20,AT32+B$20)</f>
        <v>-0.3</v>
      </c>
      <c r="AV32" s="11">
        <f t="shared" si="14"/>
        <v>7.5</v>
      </c>
      <c r="AX32">
        <f t="shared" si="0"/>
        <v>-0.504</v>
      </c>
    </row>
    <row r="35" spans="45:46" x14ac:dyDescent="0.15">
      <c r="AS35" s="16" t="s">
        <v>54</v>
      </c>
      <c r="AT35" s="16"/>
    </row>
    <row r="36" spans="45:46" x14ac:dyDescent="0.15">
      <c r="AS36" s="16" t="s">
        <v>55</v>
      </c>
      <c r="AT36" s="16"/>
    </row>
    <row r="37" spans="45:46" x14ac:dyDescent="0.15">
      <c r="AS37" s="16" t="s">
        <v>56</v>
      </c>
      <c r="AT37" s="16"/>
    </row>
    <row r="38" spans="45:46" x14ac:dyDescent="0.15">
      <c r="AS38" s="16" t="s">
        <v>57</v>
      </c>
      <c r="AT38" s="16"/>
    </row>
    <row r="39" spans="45:46" x14ac:dyDescent="0.15">
      <c r="AS39" s="1" t="s">
        <v>58</v>
      </c>
      <c r="AT39" s="1" t="s">
        <v>62</v>
      </c>
    </row>
    <row r="40" spans="45:46" x14ac:dyDescent="0.15">
      <c r="AS40" s="1" t="s">
        <v>59</v>
      </c>
      <c r="AT40" s="1">
        <v>0.2</v>
      </c>
    </row>
    <row r="41" spans="45:46" x14ac:dyDescent="0.15">
      <c r="AS41" s="1">
        <v>0.5</v>
      </c>
      <c r="AT41" s="1">
        <v>0.1</v>
      </c>
    </row>
    <row r="42" spans="45:46" x14ac:dyDescent="0.15">
      <c r="AS42" s="1">
        <v>1</v>
      </c>
      <c r="AT42" s="1">
        <v>0</v>
      </c>
    </row>
    <row r="43" spans="45:46" x14ac:dyDescent="0.15">
      <c r="AS43" s="1">
        <v>2</v>
      </c>
      <c r="AT43" s="1">
        <v>-0.1</v>
      </c>
    </row>
    <row r="44" spans="45:46" x14ac:dyDescent="0.15">
      <c r="AS44" s="1">
        <v>3</v>
      </c>
      <c r="AT44" s="1">
        <v>-0.2</v>
      </c>
    </row>
    <row r="46" spans="45:46" x14ac:dyDescent="0.15">
      <c r="AS46" s="1" t="s">
        <v>66</v>
      </c>
      <c r="AT46" s="1" t="s">
        <v>62</v>
      </c>
    </row>
    <row r="47" spans="45:46" x14ac:dyDescent="0.15">
      <c r="AS47" s="1" t="s">
        <v>67</v>
      </c>
      <c r="AT47" s="1">
        <v>-0.3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CAS Adjust Terms</vt:lpstr>
      <vt:lpstr>Phi_tau</vt:lpstr>
      <vt:lpstr>model coef</vt:lpstr>
      <vt:lpstr>CAS</vt:lpstr>
      <vt:lpstr>BCH2016</vt:lpstr>
    </vt:vector>
  </TitlesOfParts>
  <Company>NJG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Gregor</dc:creator>
  <cp:lastModifiedBy>Microsoft Office User</cp:lastModifiedBy>
  <dcterms:created xsi:type="dcterms:W3CDTF">2010-06-10T22:57:15Z</dcterms:created>
  <dcterms:modified xsi:type="dcterms:W3CDTF">2018-07-18T18:40:59Z</dcterms:modified>
</cp:coreProperties>
</file>